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A67A15AA-0767-406E-9319-640EA4B32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331" sheetId="66" r:id="rId1"/>
    <sheet name="0331 4度C" sheetId="67" r:id="rId2"/>
    <sheet name="0330" sheetId="64" r:id="rId3"/>
    <sheet name="0330 4度C" sheetId="65" r:id="rId4"/>
    <sheet name="0329" sheetId="62" r:id="rId5"/>
    <sheet name="0329 4度C" sheetId="63" r:id="rId6"/>
    <sheet name="0328" sheetId="60" r:id="rId7"/>
    <sheet name="0328 4度C" sheetId="61" r:id="rId8"/>
    <sheet name="0327" sheetId="58" r:id="rId9"/>
    <sheet name="0327 4度C" sheetId="59" r:id="rId10"/>
    <sheet name="0326" sheetId="56" r:id="rId11"/>
    <sheet name="0326 4度C" sheetId="57" r:id="rId12"/>
    <sheet name="0325" sheetId="54" r:id="rId13"/>
    <sheet name="0325 4度C" sheetId="55" r:id="rId14"/>
    <sheet name="0324" sheetId="52" r:id="rId15"/>
    <sheet name="0324 4度C" sheetId="53" r:id="rId16"/>
    <sheet name="0323" sheetId="50" r:id="rId17"/>
    <sheet name="0323 4度C" sheetId="51" r:id="rId18"/>
    <sheet name="0322" sheetId="48" r:id="rId19"/>
    <sheet name="0322 4度C" sheetId="49" r:id="rId20"/>
    <sheet name="0321" sheetId="46" r:id="rId21"/>
    <sheet name="0321 4度C" sheetId="47" r:id="rId22"/>
    <sheet name="0320" sheetId="44" r:id="rId23"/>
    <sheet name="0320 4度C" sheetId="45" r:id="rId24"/>
    <sheet name="0319" sheetId="42" r:id="rId25"/>
    <sheet name="0319 4度C" sheetId="43" r:id="rId26"/>
    <sheet name="0318" sheetId="40" r:id="rId27"/>
    <sheet name="0318 4度C" sheetId="41" r:id="rId28"/>
    <sheet name="0317" sheetId="38" r:id="rId29"/>
    <sheet name="0317 4度C" sheetId="39" r:id="rId30"/>
    <sheet name="0316" sheetId="36" r:id="rId31"/>
    <sheet name="0316 4度C" sheetId="37" r:id="rId32"/>
    <sheet name="0315" sheetId="35" r:id="rId33"/>
    <sheet name="0315 4度C" sheetId="34" r:id="rId34"/>
    <sheet name="0314" sheetId="31" r:id="rId35"/>
    <sheet name="0314 4度C" sheetId="32" r:id="rId36"/>
    <sheet name="0313" sheetId="29" r:id="rId37"/>
    <sheet name="0313 4度C" sheetId="30" r:id="rId38"/>
    <sheet name="0312" sheetId="27" r:id="rId39"/>
    <sheet name="0312 4度C" sheetId="28" r:id="rId40"/>
    <sheet name="0311" sheetId="25" r:id="rId41"/>
    <sheet name="0311 4度C" sheetId="26" r:id="rId42"/>
    <sheet name="0310" sheetId="23" r:id="rId43"/>
    <sheet name="0310 4度C" sheetId="24" r:id="rId44"/>
    <sheet name="0309" sheetId="19" r:id="rId45"/>
    <sheet name="0309 4度C" sheetId="20" r:id="rId46"/>
    <sheet name="0308" sheetId="17" r:id="rId47"/>
    <sheet name="0308 4度C" sheetId="18" r:id="rId48"/>
    <sheet name="0307" sheetId="15" r:id="rId49"/>
    <sheet name="0307 4度C" sheetId="16" r:id="rId50"/>
    <sheet name="0306" sheetId="13" r:id="rId51"/>
    <sheet name="0306 4度C" sheetId="14" r:id="rId52"/>
    <sheet name="0305" sheetId="11" r:id="rId53"/>
    <sheet name="0305 4度C" sheetId="12" r:id="rId54"/>
    <sheet name="0304" sheetId="9" r:id="rId55"/>
    <sheet name="0304 4度C" sheetId="10" r:id="rId56"/>
    <sheet name="0303" sheetId="7" r:id="rId57"/>
    <sheet name="0303 4度C" sheetId="8" r:id="rId58"/>
    <sheet name="0302" sheetId="3" r:id="rId59"/>
    <sheet name="0302 4度C" sheetId="4" r:id="rId60"/>
    <sheet name="0301" sheetId="2" r:id="rId61"/>
    <sheet name="0301 4度C" sheetId="1" r:id="rId62"/>
  </sheets>
  <definedNames>
    <definedName name="_xlnm._FilterDatabase" localSheetId="61" hidden="1">'0301 4度C'!$A$4:$AI$4</definedName>
    <definedName name="_xlnm._FilterDatabase" localSheetId="59" hidden="1">'0302 4度C'!$A$4:$AI$4</definedName>
    <definedName name="_xlnm._FilterDatabase" localSheetId="57" hidden="1">'0303 4度C'!$A$4:$AI$4</definedName>
    <definedName name="_xlnm._FilterDatabase" localSheetId="55" hidden="1">'0304 4度C'!$A$4:$AI$4</definedName>
    <definedName name="_xlnm._FilterDatabase" localSheetId="53" hidden="1">'0305 4度C'!$A$4:$AI$4</definedName>
    <definedName name="_xlnm._FilterDatabase" localSheetId="51" hidden="1">'0306 4度C'!$A$4:$AI$4</definedName>
    <definedName name="_xlnm._FilterDatabase" localSheetId="49" hidden="1">'0307 4度C'!$A$4:$AI$4</definedName>
    <definedName name="_xlnm._FilterDatabase" localSheetId="47" hidden="1">'0308 4度C'!$A$4:$AI$4</definedName>
    <definedName name="_xlnm._FilterDatabase" localSheetId="45" hidden="1">'0309 4度C'!$A$4:$AI$4</definedName>
    <definedName name="_xlnm._FilterDatabase" localSheetId="43" hidden="1">'0310 4度C'!$A$4:$AI$4</definedName>
    <definedName name="_xlnm._FilterDatabase" localSheetId="41" hidden="1">'0311 4度C'!$A$4:$AI$4</definedName>
    <definedName name="_xlnm._FilterDatabase" localSheetId="39" hidden="1">'0312 4度C'!$A$4:$AI$4</definedName>
    <definedName name="_xlnm._FilterDatabase" localSheetId="37" hidden="1">'0313 4度C'!$A$4:$AI$4</definedName>
    <definedName name="_xlnm._FilterDatabase" localSheetId="35" hidden="1">'0314 4度C'!$A$4:$AI$4</definedName>
    <definedName name="_xlnm._FilterDatabase" localSheetId="33" hidden="1">'0315 4度C'!$A$4:$AI$4</definedName>
    <definedName name="_xlnm._FilterDatabase" localSheetId="31" hidden="1">'0316 4度C'!$A$4:$AI$4</definedName>
    <definedName name="_xlnm._FilterDatabase" localSheetId="29" hidden="1">'0317 4度C'!$A$4:$AI$4</definedName>
    <definedName name="_xlnm._FilterDatabase" localSheetId="27" hidden="1">'0318 4度C'!$A$4:$AI$4</definedName>
    <definedName name="_xlnm._FilterDatabase" localSheetId="25" hidden="1">'0319 4度C'!$A$4:$AI$4</definedName>
    <definedName name="_xlnm._FilterDatabase" localSheetId="23" hidden="1">'0320 4度C'!$A$4:$AI$4</definedName>
    <definedName name="_xlnm._FilterDatabase" localSheetId="21" hidden="1">'0321 4度C'!$A$4:$AI$4</definedName>
    <definedName name="_xlnm._FilterDatabase" localSheetId="19" hidden="1">'0322 4度C'!$A$4:$AI$4</definedName>
    <definedName name="_xlnm._FilterDatabase" localSheetId="17" hidden="1">'0323 4度C'!$A$4:$AI$4</definedName>
    <definedName name="_xlnm._FilterDatabase" localSheetId="15" hidden="1">'0324 4度C'!$A$4:$AI$4</definedName>
    <definedName name="_xlnm._FilterDatabase" localSheetId="13" hidden="1">'0325 4度C'!$A$4:$AI$4</definedName>
    <definedName name="_xlnm._FilterDatabase" localSheetId="11" hidden="1">'0326 4度C'!$A$4:$AI$4</definedName>
    <definedName name="_xlnm._FilterDatabase" localSheetId="9" hidden="1">'0327 4度C'!$A$4:$AI$4</definedName>
    <definedName name="_xlnm._FilterDatabase" localSheetId="7" hidden="1">'0328 4度C'!$A$4:$AI$4</definedName>
    <definedName name="_xlnm._FilterDatabase" localSheetId="5" hidden="1">'0329 4度C'!$A$4:$AI$4</definedName>
    <definedName name="_xlnm._FilterDatabase" localSheetId="3" hidden="1">'0330 4度C'!$A$4:$AI$4</definedName>
    <definedName name="_xlnm._FilterDatabase" localSheetId="1" hidden="1">'0331 4度C'!$A$4:$AI$4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66" l="1"/>
  <c r="L22" i="66"/>
  <c r="K22" i="66"/>
  <c r="J22" i="66"/>
  <c r="I22" i="66"/>
  <c r="H22" i="66"/>
  <c r="G22" i="66"/>
  <c r="F22" i="66"/>
  <c r="E22" i="66"/>
  <c r="D22" i="66"/>
  <c r="J21" i="66"/>
  <c r="H21" i="66"/>
  <c r="M20" i="66"/>
  <c r="L20" i="66"/>
  <c r="K20" i="66"/>
  <c r="J20" i="66"/>
  <c r="I20" i="66"/>
  <c r="H20" i="66"/>
  <c r="G20" i="66"/>
  <c r="F20" i="66"/>
  <c r="E20" i="66"/>
  <c r="D20" i="66"/>
  <c r="K19" i="66"/>
  <c r="J19" i="66"/>
  <c r="H19" i="66"/>
  <c r="K18" i="66"/>
  <c r="M17" i="66"/>
  <c r="L17" i="66"/>
  <c r="K17" i="66"/>
  <c r="J17" i="66"/>
  <c r="I17" i="66"/>
  <c r="H17" i="66"/>
  <c r="G17" i="66"/>
  <c r="F17" i="66"/>
  <c r="E17" i="66"/>
  <c r="D17" i="66"/>
  <c r="M16" i="66"/>
  <c r="L16" i="66"/>
  <c r="K16" i="66"/>
  <c r="J16" i="66"/>
  <c r="I16" i="66"/>
  <c r="H16" i="66"/>
  <c r="G16" i="66"/>
  <c r="F16" i="66"/>
  <c r="E16" i="66"/>
  <c r="D16" i="66"/>
  <c r="M6" i="66"/>
  <c r="F3" i="66"/>
  <c r="C3" i="66"/>
  <c r="AD68" i="67"/>
  <c r="M21" i="66" s="1"/>
  <c r="Z68" i="67"/>
  <c r="M19" i="66" s="1"/>
  <c r="Y68" i="67"/>
  <c r="M18" i="66" s="1"/>
  <c r="O68" i="67"/>
  <c r="K68" i="67"/>
  <c r="M13" i="66" s="1"/>
  <c r="V67" i="67"/>
  <c r="U67" i="67"/>
  <c r="O67" i="67"/>
  <c r="M67" i="67"/>
  <c r="AF67" i="67" s="1"/>
  <c r="K67" i="67"/>
  <c r="G67" i="67"/>
  <c r="X66" i="67"/>
  <c r="W66" i="67"/>
  <c r="V66" i="67"/>
  <c r="M66" i="67" s="1"/>
  <c r="U66" i="67"/>
  <c r="O66" i="67"/>
  <c r="K66" i="67"/>
  <c r="G66" i="67"/>
  <c r="V65" i="67"/>
  <c r="U65" i="67"/>
  <c r="O65" i="67"/>
  <c r="M65" i="67"/>
  <c r="N65" i="67" s="1"/>
  <c r="K65" i="67"/>
  <c r="G65" i="67"/>
  <c r="V64" i="67"/>
  <c r="M64" i="67" s="1"/>
  <c r="U64" i="67"/>
  <c r="O64" i="67"/>
  <c r="K64" i="67"/>
  <c r="G64" i="67"/>
  <c r="V63" i="67"/>
  <c r="U63" i="67"/>
  <c r="O63" i="67"/>
  <c r="M63" i="67"/>
  <c r="N63" i="67" s="1"/>
  <c r="K63" i="67"/>
  <c r="G63" i="67"/>
  <c r="X62" i="67"/>
  <c r="W62" i="67"/>
  <c r="V62" i="67"/>
  <c r="M62" i="67" s="1"/>
  <c r="O62" i="67"/>
  <c r="K62" i="67"/>
  <c r="G62" i="67"/>
  <c r="AD61" i="67"/>
  <c r="Z61" i="67"/>
  <c r="Y61" i="67"/>
  <c r="J18" i="66" s="1"/>
  <c r="O61" i="67"/>
  <c r="K61" i="67"/>
  <c r="J13" i="66" s="1"/>
  <c r="V60" i="67"/>
  <c r="U60" i="67"/>
  <c r="O60" i="67"/>
  <c r="M60" i="67"/>
  <c r="AE60" i="67" s="1"/>
  <c r="K60" i="67"/>
  <c r="G60" i="67"/>
  <c r="V59" i="67"/>
  <c r="U59" i="67"/>
  <c r="O59" i="67"/>
  <c r="M59" i="67"/>
  <c r="N59" i="67" s="1"/>
  <c r="K59" i="67"/>
  <c r="G59" i="67"/>
  <c r="V58" i="67"/>
  <c r="U58" i="67"/>
  <c r="O58" i="67"/>
  <c r="M58" i="67"/>
  <c r="N58" i="67" s="1"/>
  <c r="K58" i="67"/>
  <c r="G58" i="67"/>
  <c r="V57" i="67"/>
  <c r="M57" i="67" s="1"/>
  <c r="U57" i="67"/>
  <c r="O57" i="67"/>
  <c r="K57" i="67"/>
  <c r="G57" i="67"/>
  <c r="V56" i="67"/>
  <c r="O56" i="67"/>
  <c r="M56" i="67"/>
  <c r="AE56" i="67" s="1"/>
  <c r="K56" i="67"/>
  <c r="G56" i="67"/>
  <c r="AD55" i="67"/>
  <c r="I21" i="66" s="1"/>
  <c r="Z55" i="67"/>
  <c r="I19" i="66" s="1"/>
  <c r="Y55" i="67"/>
  <c r="I18" i="66" s="1"/>
  <c r="O55" i="67"/>
  <c r="K55" i="67"/>
  <c r="I13" i="66" s="1"/>
  <c r="V54" i="67"/>
  <c r="M54" i="67" s="1"/>
  <c r="AF54" i="67" s="1"/>
  <c r="U54" i="67"/>
  <c r="O54" i="67"/>
  <c r="K54" i="67"/>
  <c r="G54" i="67"/>
  <c r="X53" i="67"/>
  <c r="W53" i="67"/>
  <c r="V53" i="67"/>
  <c r="U53" i="67"/>
  <c r="O53" i="67"/>
  <c r="M53" i="67"/>
  <c r="K53" i="67"/>
  <c r="G53" i="67"/>
  <c r="V52" i="67"/>
  <c r="U52" i="67"/>
  <c r="O52" i="67"/>
  <c r="M52" i="67"/>
  <c r="AF52" i="67" s="1"/>
  <c r="K52" i="67"/>
  <c r="G52" i="67"/>
  <c r="AE51" i="67"/>
  <c r="V51" i="67"/>
  <c r="U51" i="67"/>
  <c r="O51" i="67"/>
  <c r="M51" i="67"/>
  <c r="K51" i="67"/>
  <c r="G51" i="67"/>
  <c r="V50" i="67"/>
  <c r="U50" i="67"/>
  <c r="O50" i="67"/>
  <c r="M50" i="67"/>
  <c r="AF50" i="67" s="1"/>
  <c r="K50" i="67"/>
  <c r="G50" i="67"/>
  <c r="V49" i="67"/>
  <c r="M49" i="67" s="1"/>
  <c r="U49" i="67"/>
  <c r="O49" i="67"/>
  <c r="K49" i="67"/>
  <c r="G49" i="67"/>
  <c r="V48" i="67"/>
  <c r="U48" i="67"/>
  <c r="O48" i="67"/>
  <c r="M48" i="67"/>
  <c r="N48" i="67" s="1"/>
  <c r="K48" i="67"/>
  <c r="G48" i="67"/>
  <c r="V47" i="67"/>
  <c r="M47" i="67" s="1"/>
  <c r="O47" i="67"/>
  <c r="K47" i="67"/>
  <c r="G47" i="67"/>
  <c r="AD46" i="67"/>
  <c r="Z46" i="67"/>
  <c r="Y46" i="67"/>
  <c r="H18" i="66" s="1"/>
  <c r="O46" i="67"/>
  <c r="K46" i="67"/>
  <c r="H13" i="66" s="1"/>
  <c r="V45" i="67"/>
  <c r="U45" i="67"/>
  <c r="O45" i="67"/>
  <c r="M45" i="67"/>
  <c r="AF45" i="67" s="1"/>
  <c r="K45" i="67"/>
  <c r="G45" i="67"/>
  <c r="AF44" i="67"/>
  <c r="V44" i="67"/>
  <c r="U44" i="67"/>
  <c r="O44" i="67"/>
  <c r="M44" i="67"/>
  <c r="AE44" i="67" s="1"/>
  <c r="K44" i="67"/>
  <c r="G44" i="67"/>
  <c r="V43" i="67"/>
  <c r="U43" i="67"/>
  <c r="O43" i="67"/>
  <c r="M43" i="67"/>
  <c r="N43" i="67" s="1"/>
  <c r="K43" i="67"/>
  <c r="G43" i="67"/>
  <c r="V42" i="67"/>
  <c r="M42" i="67" s="1"/>
  <c r="U42" i="67"/>
  <c r="O42" i="67"/>
  <c r="K42" i="67"/>
  <c r="G42" i="67"/>
  <c r="X41" i="67"/>
  <c r="W41" i="67"/>
  <c r="V41" i="67"/>
  <c r="O41" i="67"/>
  <c r="M41" i="67"/>
  <c r="AF41" i="67" s="1"/>
  <c r="K41" i="67"/>
  <c r="G41" i="67"/>
  <c r="AD40" i="67"/>
  <c r="L21" i="66" s="1"/>
  <c r="Z40" i="67"/>
  <c r="L19" i="66" s="1"/>
  <c r="Y40" i="67"/>
  <c r="L18" i="66" s="1"/>
  <c r="O40" i="67"/>
  <c r="K40" i="67"/>
  <c r="L13" i="66" s="1"/>
  <c r="V39" i="67"/>
  <c r="U39" i="67"/>
  <c r="O39" i="67"/>
  <c r="M39" i="67"/>
  <c r="N39" i="67" s="1"/>
  <c r="K39" i="67"/>
  <c r="G39" i="67"/>
  <c r="V38" i="67"/>
  <c r="U38" i="67"/>
  <c r="O38" i="67"/>
  <c r="M38" i="67"/>
  <c r="AE38" i="67" s="1"/>
  <c r="K38" i="67"/>
  <c r="G38" i="67"/>
  <c r="AF37" i="67"/>
  <c r="AE37" i="67"/>
  <c r="X37" i="67"/>
  <c r="W37" i="67"/>
  <c r="V37" i="67"/>
  <c r="U37" i="67"/>
  <c r="O37" i="67"/>
  <c r="M37" i="67"/>
  <c r="N37" i="67" s="1"/>
  <c r="K37" i="67"/>
  <c r="G37" i="67"/>
  <c r="V36" i="67"/>
  <c r="U36" i="67"/>
  <c r="O36" i="67"/>
  <c r="M36" i="67"/>
  <c r="N36" i="67" s="1"/>
  <c r="K36" i="67"/>
  <c r="G36" i="67"/>
  <c r="V35" i="67"/>
  <c r="M35" i="67" s="1"/>
  <c r="AE35" i="67" s="1"/>
  <c r="U35" i="67"/>
  <c r="O35" i="67"/>
  <c r="K35" i="67"/>
  <c r="G35" i="67"/>
  <c r="V34" i="67"/>
  <c r="U34" i="67"/>
  <c r="O34" i="67"/>
  <c r="M34" i="67"/>
  <c r="AF34" i="67" s="1"/>
  <c r="K34" i="67"/>
  <c r="G34" i="67"/>
  <c r="X33" i="67"/>
  <c r="W33" i="67"/>
  <c r="V33" i="67"/>
  <c r="O33" i="67"/>
  <c r="M33" i="67"/>
  <c r="AF33" i="67" s="1"/>
  <c r="K33" i="67"/>
  <c r="G33" i="67"/>
  <c r="AD32" i="67"/>
  <c r="K21" i="66" s="1"/>
  <c r="Z32" i="67"/>
  <c r="Y32" i="67"/>
  <c r="O32" i="67"/>
  <c r="K32" i="67"/>
  <c r="K13" i="66" s="1"/>
  <c r="V31" i="67"/>
  <c r="U31" i="67"/>
  <c r="O31" i="67"/>
  <c r="M31" i="67"/>
  <c r="AF31" i="67" s="1"/>
  <c r="K31" i="67"/>
  <c r="G31" i="67"/>
  <c r="X30" i="67"/>
  <c r="W30" i="67"/>
  <c r="V30" i="67"/>
  <c r="U30" i="67"/>
  <c r="O30" i="67"/>
  <c r="M30" i="67"/>
  <c r="K30" i="67"/>
  <c r="G30" i="67"/>
  <c r="V29" i="67"/>
  <c r="M29" i="67" s="1"/>
  <c r="AF29" i="67" s="1"/>
  <c r="U29" i="67"/>
  <c r="O29" i="67"/>
  <c r="K29" i="67"/>
  <c r="G29" i="67"/>
  <c r="V28" i="67"/>
  <c r="U28" i="67"/>
  <c r="O28" i="67"/>
  <c r="M28" i="67"/>
  <c r="AF28" i="67" s="1"/>
  <c r="K28" i="67"/>
  <c r="G28" i="67"/>
  <c r="V27" i="67"/>
  <c r="U27" i="67"/>
  <c r="O27" i="67"/>
  <c r="M27" i="67"/>
  <c r="AE27" i="67" s="1"/>
  <c r="K27" i="67"/>
  <c r="G27" i="67"/>
  <c r="X26" i="67"/>
  <c r="W26" i="67"/>
  <c r="V26" i="67"/>
  <c r="O26" i="67"/>
  <c r="M26" i="67"/>
  <c r="K26" i="67"/>
  <c r="G26" i="67"/>
  <c r="AD25" i="67"/>
  <c r="G21" i="66" s="1"/>
  <c r="Z25" i="67"/>
  <c r="G19" i="66" s="1"/>
  <c r="Y25" i="67"/>
  <c r="G18" i="66" s="1"/>
  <c r="O25" i="67"/>
  <c r="K25" i="67"/>
  <c r="G13" i="66" s="1"/>
  <c r="V24" i="67"/>
  <c r="M24" i="67" s="1"/>
  <c r="U24" i="67"/>
  <c r="O24" i="67"/>
  <c r="K24" i="67"/>
  <c r="G24" i="67"/>
  <c r="V23" i="67"/>
  <c r="U23" i="67"/>
  <c r="O23" i="67"/>
  <c r="M23" i="67"/>
  <c r="AF23" i="67" s="1"/>
  <c r="K23" i="67"/>
  <c r="G23" i="67"/>
  <c r="V22" i="67"/>
  <c r="M22" i="67" s="1"/>
  <c r="U22" i="67"/>
  <c r="O22" i="67"/>
  <c r="K22" i="67"/>
  <c r="G22" i="67"/>
  <c r="V21" i="67"/>
  <c r="U21" i="67"/>
  <c r="O21" i="67"/>
  <c r="M21" i="67"/>
  <c r="N21" i="67" s="1"/>
  <c r="K21" i="67"/>
  <c r="G21" i="67"/>
  <c r="V20" i="67"/>
  <c r="U20" i="67"/>
  <c r="O20" i="67"/>
  <c r="M20" i="67"/>
  <c r="K20" i="67"/>
  <c r="G20" i="67"/>
  <c r="V19" i="67"/>
  <c r="O19" i="67"/>
  <c r="M19" i="67"/>
  <c r="AF19" i="67" s="1"/>
  <c r="K19" i="67"/>
  <c r="G19" i="67"/>
  <c r="AD18" i="67"/>
  <c r="F21" i="66" s="1"/>
  <c r="Z18" i="67"/>
  <c r="F19" i="66" s="1"/>
  <c r="Y18" i="67"/>
  <c r="F18" i="66" s="1"/>
  <c r="O18" i="67"/>
  <c r="K18" i="67"/>
  <c r="F13" i="66" s="1"/>
  <c r="V17" i="67"/>
  <c r="M17" i="67" s="1"/>
  <c r="U17" i="67"/>
  <c r="O17" i="67"/>
  <c r="K17" i="67"/>
  <c r="G17" i="67"/>
  <c r="V16" i="67"/>
  <c r="U16" i="67"/>
  <c r="O16" i="67"/>
  <c r="M16" i="67"/>
  <c r="N16" i="67" s="1"/>
  <c r="K16" i="67"/>
  <c r="G16" i="67"/>
  <c r="V15" i="67"/>
  <c r="U15" i="67"/>
  <c r="O15" i="67"/>
  <c r="M15" i="67"/>
  <c r="AF15" i="67" s="1"/>
  <c r="K15" i="67"/>
  <c r="G15" i="67"/>
  <c r="V14" i="67"/>
  <c r="O14" i="67"/>
  <c r="M14" i="67"/>
  <c r="AF14" i="67" s="1"/>
  <c r="K14" i="67"/>
  <c r="G14" i="67"/>
  <c r="AD13" i="67"/>
  <c r="E21" i="66" s="1"/>
  <c r="Z13" i="67"/>
  <c r="E19" i="66" s="1"/>
  <c r="Y13" i="67"/>
  <c r="E18" i="66" s="1"/>
  <c r="O13" i="67"/>
  <c r="K13" i="67"/>
  <c r="E13" i="66" s="1"/>
  <c r="V12" i="67"/>
  <c r="U12" i="67"/>
  <c r="O12" i="67"/>
  <c r="M12" i="67"/>
  <c r="AF12" i="67" s="1"/>
  <c r="K12" i="67"/>
  <c r="G12" i="67"/>
  <c r="X11" i="67"/>
  <c r="W11" i="67"/>
  <c r="V11" i="67"/>
  <c r="U11" i="67"/>
  <c r="O11" i="67"/>
  <c r="M11" i="67"/>
  <c r="K11" i="67"/>
  <c r="G11" i="67"/>
  <c r="V10" i="67"/>
  <c r="O10" i="67"/>
  <c r="M10" i="67"/>
  <c r="K10" i="67"/>
  <c r="G10" i="67"/>
  <c r="AD9" i="67"/>
  <c r="D21" i="66" s="1"/>
  <c r="Z9" i="67"/>
  <c r="D19" i="66" s="1"/>
  <c r="Y9" i="67"/>
  <c r="D18" i="66" s="1"/>
  <c r="O9" i="67"/>
  <c r="K9" i="67"/>
  <c r="D13" i="66" s="1"/>
  <c r="AE8" i="67"/>
  <c r="V8" i="67"/>
  <c r="U8" i="67"/>
  <c r="O8" i="67"/>
  <c r="M8" i="67"/>
  <c r="AF8" i="67" s="1"/>
  <c r="K8" i="67"/>
  <c r="G8" i="67"/>
  <c r="V7" i="67"/>
  <c r="U7" i="67"/>
  <c r="O7" i="67"/>
  <c r="M7" i="67"/>
  <c r="AF7" i="67" s="1"/>
  <c r="K7" i="67"/>
  <c r="G7" i="67"/>
  <c r="V6" i="67"/>
  <c r="M6" i="67" s="1"/>
  <c r="U6" i="67"/>
  <c r="O6" i="67"/>
  <c r="K6" i="67"/>
  <c r="G6" i="67"/>
  <c r="V5" i="67"/>
  <c r="O5" i="67"/>
  <c r="M5" i="67"/>
  <c r="AF5" i="67" s="1"/>
  <c r="K5" i="67"/>
  <c r="G5" i="67"/>
  <c r="H2" i="67"/>
  <c r="H1" i="67"/>
  <c r="F1" i="67"/>
  <c r="F2" i="67" s="1"/>
  <c r="D1" i="67"/>
  <c r="M25" i="67" l="1"/>
  <c r="AF25" i="67" s="1"/>
  <c r="AG19" i="67" s="1"/>
  <c r="N57" i="67"/>
  <c r="AF57" i="67"/>
  <c r="AE57" i="67"/>
  <c r="N64" i="67"/>
  <c r="Q64" i="67" s="1"/>
  <c r="AF64" i="67"/>
  <c r="AE64" i="67"/>
  <c r="N42" i="67"/>
  <c r="Q42" i="67" s="1"/>
  <c r="AF42" i="67"/>
  <c r="AE42" i="67"/>
  <c r="N47" i="67"/>
  <c r="Q47" i="67" s="1"/>
  <c r="AF47" i="67"/>
  <c r="AE47" i="67"/>
  <c r="N24" i="67"/>
  <c r="AF24" i="67"/>
  <c r="AE24" i="67"/>
  <c r="G6" i="66"/>
  <c r="N6" i="67"/>
  <c r="Q6" i="67" s="1"/>
  <c r="M9" i="67"/>
  <c r="AF9" i="67" s="1"/>
  <c r="AG5" i="67" s="1"/>
  <c r="AF6" i="67"/>
  <c r="AE6" i="67"/>
  <c r="N17" i="67"/>
  <c r="AF17" i="67"/>
  <c r="N62" i="67"/>
  <c r="M68" i="67"/>
  <c r="AF62" i="67"/>
  <c r="AE62" i="67"/>
  <c r="N66" i="67"/>
  <c r="P66" i="67" s="1"/>
  <c r="AF66" i="67"/>
  <c r="AE66" i="67"/>
  <c r="P63" i="67"/>
  <c r="Q63" i="67"/>
  <c r="N22" i="67"/>
  <c r="Q22" i="67" s="1"/>
  <c r="AF22" i="67"/>
  <c r="AE22" i="67"/>
  <c r="N49" i="67"/>
  <c r="AF49" i="67"/>
  <c r="AE49" i="67"/>
  <c r="N20" i="67"/>
  <c r="Q20" i="67" s="1"/>
  <c r="N27" i="67"/>
  <c r="N15" i="67"/>
  <c r="N60" i="67"/>
  <c r="Y2" i="67"/>
  <c r="K6" i="66" s="1"/>
  <c r="Z2" i="67"/>
  <c r="L6" i="66" s="1"/>
  <c r="N33" i="67"/>
  <c r="N45" i="67"/>
  <c r="Q45" i="67" s="1"/>
  <c r="AD2" i="67"/>
  <c r="N6" i="66" s="1"/>
  <c r="M18" i="67"/>
  <c r="AE20" i="67"/>
  <c r="I3" i="66"/>
  <c r="AF43" i="67"/>
  <c r="AF38" i="67"/>
  <c r="M46" i="67"/>
  <c r="AF46" i="67" s="1"/>
  <c r="AG41" i="67" s="1"/>
  <c r="AE48" i="67"/>
  <c r="AF58" i="67"/>
  <c r="AE5" i="67"/>
  <c r="AE7" i="67"/>
  <c r="AE23" i="67"/>
  <c r="AF36" i="67"/>
  <c r="AF48" i="67"/>
  <c r="AE50" i="67"/>
  <c r="AE65" i="67"/>
  <c r="AE67" i="67"/>
  <c r="AF65" i="67"/>
  <c r="N23" i="67"/>
  <c r="Q23" i="67" s="1"/>
  <c r="AF27" i="67"/>
  <c r="N41" i="67"/>
  <c r="AE45" i="67"/>
  <c r="AF60" i="67"/>
  <c r="N67" i="67"/>
  <c r="Q67" i="67" s="1"/>
  <c r="N5" i="67"/>
  <c r="Q5" i="67" s="1"/>
  <c r="N56" i="67"/>
  <c r="P56" i="67" s="1"/>
  <c r="AE58" i="67"/>
  <c r="M61" i="67"/>
  <c r="AF61" i="67" s="1"/>
  <c r="AG56" i="67" s="1"/>
  <c r="AE36" i="67"/>
  <c r="N14" i="67"/>
  <c r="Q14" i="67" s="1"/>
  <c r="AE16" i="67"/>
  <c r="AE21" i="67"/>
  <c r="AE41" i="67"/>
  <c r="N44" i="67"/>
  <c r="AF56" i="67"/>
  <c r="Q59" i="67"/>
  <c r="AE63" i="67"/>
  <c r="AF16" i="67"/>
  <c r="AF21" i="67"/>
  <c r="AE28" i="67"/>
  <c r="AF63" i="67"/>
  <c r="AF59" i="67"/>
  <c r="N7" i="67"/>
  <c r="AE15" i="67"/>
  <c r="AF20" i="67"/>
  <c r="N38" i="67"/>
  <c r="Q43" i="67"/>
  <c r="N50" i="67"/>
  <c r="AE33" i="67"/>
  <c r="N19" i="67"/>
  <c r="Q19" i="67" s="1"/>
  <c r="M32" i="67"/>
  <c r="AF32" i="67" s="1"/>
  <c r="AG26" i="67" s="1"/>
  <c r="AE19" i="67"/>
  <c r="M55" i="67"/>
  <c r="AE14" i="67"/>
  <c r="AE39" i="67"/>
  <c r="AF39" i="67"/>
  <c r="E6" i="66"/>
  <c r="I6" i="66"/>
  <c r="F6" i="66"/>
  <c r="M13" i="67"/>
  <c r="AF10" i="67"/>
  <c r="N10" i="67"/>
  <c r="Q57" i="67"/>
  <c r="P57" i="67"/>
  <c r="Q33" i="67"/>
  <c r="P33" i="67"/>
  <c r="N18" i="67"/>
  <c r="F14" i="66" s="1"/>
  <c r="F15" i="66" s="1"/>
  <c r="AF18" i="67"/>
  <c r="AG14" i="67" s="1"/>
  <c r="AE18" i="67"/>
  <c r="Q15" i="67"/>
  <c r="P15" i="67"/>
  <c r="Q21" i="67"/>
  <c r="P21" i="67"/>
  <c r="Q39" i="67"/>
  <c r="P39" i="67"/>
  <c r="AE10" i="67"/>
  <c r="AF35" i="67"/>
  <c r="N35" i="67"/>
  <c r="P43" i="67"/>
  <c r="P5" i="67"/>
  <c r="Q56" i="67"/>
  <c r="AF53" i="67"/>
  <c r="AE53" i="67"/>
  <c r="N53" i="67"/>
  <c r="AF11" i="67"/>
  <c r="AE11" i="67"/>
  <c r="N11" i="67"/>
  <c r="Q38" i="67"/>
  <c r="P38" i="67"/>
  <c r="P59" i="67"/>
  <c r="Q62" i="67"/>
  <c r="P62" i="67"/>
  <c r="Q65" i="67"/>
  <c r="P65" i="67"/>
  <c r="Q37" i="67"/>
  <c r="P37" i="67"/>
  <c r="N55" i="67"/>
  <c r="I14" i="66" s="1"/>
  <c r="I15" i="66" s="1"/>
  <c r="Q58" i="67"/>
  <c r="P58" i="67"/>
  <c r="P67" i="67"/>
  <c r="Q16" i="67"/>
  <c r="P16" i="67"/>
  <c r="Q36" i="67"/>
  <c r="P36" i="67"/>
  <c r="AF30" i="67"/>
  <c r="AE30" i="67"/>
  <c r="N30" i="67"/>
  <c r="Q48" i="67"/>
  <c r="P48" i="67"/>
  <c r="Q66" i="67"/>
  <c r="P23" i="67"/>
  <c r="N12" i="67"/>
  <c r="N25" i="67"/>
  <c r="G14" i="66" s="1"/>
  <c r="G15" i="66" s="1"/>
  <c r="N26" i="67"/>
  <c r="N29" i="67"/>
  <c r="N31" i="67"/>
  <c r="N34" i="67"/>
  <c r="N52" i="67"/>
  <c r="N54" i="67"/>
  <c r="N8" i="67"/>
  <c r="N28" i="67"/>
  <c r="N51" i="67"/>
  <c r="AE17" i="67"/>
  <c r="AE43" i="67"/>
  <c r="AE59" i="67"/>
  <c r="AE12" i="67"/>
  <c r="AE29" i="67"/>
  <c r="AE31" i="67"/>
  <c r="AE34" i="67"/>
  <c r="M40" i="67"/>
  <c r="AE52" i="67"/>
  <c r="AE54" i="67"/>
  <c r="AE25" i="67"/>
  <c r="P19" i="67"/>
  <c r="P20" i="67"/>
  <c r="AE26" i="67"/>
  <c r="P45" i="67"/>
  <c r="AF51" i="67"/>
  <c r="P64" i="67"/>
  <c r="AF26" i="67"/>
  <c r="AD68" i="65"/>
  <c r="Z68" i="65"/>
  <c r="Y68" i="65"/>
  <c r="O68" i="65"/>
  <c r="K68" i="65"/>
  <c r="V67" i="65"/>
  <c r="U67" i="65"/>
  <c r="O67" i="65"/>
  <c r="M67" i="65"/>
  <c r="AE67" i="65" s="1"/>
  <c r="K67" i="65"/>
  <c r="G67" i="65"/>
  <c r="X66" i="65"/>
  <c r="W66" i="65"/>
  <c r="V66" i="65"/>
  <c r="U66" i="65"/>
  <c r="O66" i="65"/>
  <c r="M66" i="65"/>
  <c r="N66" i="65" s="1"/>
  <c r="K66" i="65"/>
  <c r="G66" i="65"/>
  <c r="V65" i="65"/>
  <c r="M65" i="65" s="1"/>
  <c r="U65" i="65"/>
  <c r="O65" i="65"/>
  <c r="K65" i="65"/>
  <c r="G65" i="65"/>
  <c r="V64" i="65"/>
  <c r="M64" i="65" s="1"/>
  <c r="U64" i="65"/>
  <c r="O64" i="65"/>
  <c r="K64" i="65"/>
  <c r="G64" i="65"/>
  <c r="V63" i="65"/>
  <c r="M63" i="65" s="1"/>
  <c r="U63" i="65"/>
  <c r="O63" i="65"/>
  <c r="K63" i="65"/>
  <c r="G63" i="65"/>
  <c r="X62" i="65"/>
  <c r="W62" i="65"/>
  <c r="V62" i="65"/>
  <c r="M62" i="65" s="1"/>
  <c r="O62" i="65"/>
  <c r="K62" i="65"/>
  <c r="G62" i="65"/>
  <c r="AD61" i="65"/>
  <c r="Z61" i="65"/>
  <c r="Y61" i="65"/>
  <c r="O61" i="65"/>
  <c r="K61" i="65"/>
  <c r="V60" i="65"/>
  <c r="M60" i="65" s="1"/>
  <c r="U60" i="65"/>
  <c r="O60" i="65"/>
  <c r="K60" i="65"/>
  <c r="G60" i="65"/>
  <c r="V59" i="65"/>
  <c r="M59" i="65" s="1"/>
  <c r="U59" i="65"/>
  <c r="O59" i="65"/>
  <c r="K59" i="65"/>
  <c r="G59" i="65"/>
  <c r="V58" i="65"/>
  <c r="M58" i="65" s="1"/>
  <c r="U58" i="65"/>
  <c r="O58" i="65"/>
  <c r="K58" i="65"/>
  <c r="G58" i="65"/>
  <c r="V57" i="65"/>
  <c r="M57" i="65" s="1"/>
  <c r="U57" i="65"/>
  <c r="O57" i="65"/>
  <c r="K57" i="65"/>
  <c r="G57" i="65"/>
  <c r="V56" i="65"/>
  <c r="M56" i="65" s="1"/>
  <c r="O56" i="65"/>
  <c r="K56" i="65"/>
  <c r="G56" i="65"/>
  <c r="AD55" i="65"/>
  <c r="Z55" i="65"/>
  <c r="I19" i="64" s="1"/>
  <c r="Y55" i="65"/>
  <c r="I18" i="64" s="1"/>
  <c r="O55" i="65"/>
  <c r="K55" i="65"/>
  <c r="V54" i="65"/>
  <c r="M54" i="65" s="1"/>
  <c r="U54" i="65"/>
  <c r="O54" i="65"/>
  <c r="K54" i="65"/>
  <c r="G54" i="65"/>
  <c r="X53" i="65"/>
  <c r="W53" i="65"/>
  <c r="V53" i="65"/>
  <c r="M53" i="65" s="1"/>
  <c r="U53" i="65"/>
  <c r="O53" i="65"/>
  <c r="K53" i="65"/>
  <c r="G53" i="65"/>
  <c r="V52" i="65"/>
  <c r="M52" i="65" s="1"/>
  <c r="U52" i="65"/>
  <c r="O52" i="65"/>
  <c r="K52" i="65"/>
  <c r="G52" i="65"/>
  <c r="V51" i="65"/>
  <c r="M51" i="65" s="1"/>
  <c r="AF51" i="65" s="1"/>
  <c r="U51" i="65"/>
  <c r="O51" i="65"/>
  <c r="K51" i="65"/>
  <c r="G51" i="65"/>
  <c r="V50" i="65"/>
  <c r="U50" i="65"/>
  <c r="O50" i="65"/>
  <c r="M50" i="65"/>
  <c r="AF50" i="65" s="1"/>
  <c r="K50" i="65"/>
  <c r="G50" i="65"/>
  <c r="V49" i="65"/>
  <c r="U49" i="65"/>
  <c r="O49" i="65"/>
  <c r="M49" i="65"/>
  <c r="AF49" i="65" s="1"/>
  <c r="K49" i="65"/>
  <c r="G49" i="65"/>
  <c r="V48" i="65"/>
  <c r="U48" i="65"/>
  <c r="O48" i="65"/>
  <c r="M48" i="65"/>
  <c r="AF48" i="65" s="1"/>
  <c r="K48" i="65"/>
  <c r="G48" i="65"/>
  <c r="V47" i="65"/>
  <c r="M47" i="65" s="1"/>
  <c r="AF47" i="65" s="1"/>
  <c r="O47" i="65"/>
  <c r="K47" i="65"/>
  <c r="G47" i="65"/>
  <c r="AD46" i="65"/>
  <c r="Z46" i="65"/>
  <c r="Y46" i="65"/>
  <c r="O46" i="65"/>
  <c r="K46" i="65"/>
  <c r="V45" i="65"/>
  <c r="U45" i="65"/>
  <c r="O45" i="65"/>
  <c r="M45" i="65"/>
  <c r="N45" i="65" s="1"/>
  <c r="K45" i="65"/>
  <c r="G45" i="65"/>
  <c r="V44" i="65"/>
  <c r="M44" i="65" s="1"/>
  <c r="U44" i="65"/>
  <c r="O44" i="65"/>
  <c r="K44" i="65"/>
  <c r="G44" i="65"/>
  <c r="V43" i="65"/>
  <c r="M43" i="65" s="1"/>
  <c r="U43" i="65"/>
  <c r="O43" i="65"/>
  <c r="K43" i="65"/>
  <c r="G43" i="65"/>
  <c r="V42" i="65"/>
  <c r="M42" i="65" s="1"/>
  <c r="U42" i="65"/>
  <c r="O42" i="65"/>
  <c r="K42" i="65"/>
  <c r="G42" i="65"/>
  <c r="X41" i="65"/>
  <c r="W41" i="65"/>
  <c r="V41" i="65"/>
  <c r="M41" i="65" s="1"/>
  <c r="O41" i="65"/>
  <c r="K41" i="65"/>
  <c r="G41" i="65"/>
  <c r="AD40" i="65"/>
  <c r="L21" i="64" s="1"/>
  <c r="Z40" i="65"/>
  <c r="L19" i="64" s="1"/>
  <c r="Y40" i="65"/>
  <c r="O40" i="65"/>
  <c r="K40" i="65"/>
  <c r="V39" i="65"/>
  <c r="M39" i="65" s="1"/>
  <c r="U39" i="65"/>
  <c r="O39" i="65"/>
  <c r="K39" i="65"/>
  <c r="G39" i="65"/>
  <c r="V38" i="65"/>
  <c r="M38" i="65" s="1"/>
  <c r="U38" i="65"/>
  <c r="O38" i="65"/>
  <c r="K38" i="65"/>
  <c r="G38" i="65"/>
  <c r="X37" i="65"/>
  <c r="W37" i="65"/>
  <c r="V37" i="65"/>
  <c r="M37" i="65" s="1"/>
  <c r="U37" i="65"/>
  <c r="O37" i="65"/>
  <c r="K37" i="65"/>
  <c r="G37" i="65"/>
  <c r="V36" i="65"/>
  <c r="M36" i="65" s="1"/>
  <c r="U36" i="65"/>
  <c r="O36" i="65"/>
  <c r="K36" i="65"/>
  <c r="G36" i="65"/>
  <c r="V35" i="65"/>
  <c r="M35" i="65" s="1"/>
  <c r="U35" i="65"/>
  <c r="O35" i="65"/>
  <c r="K35" i="65"/>
  <c r="G35" i="65"/>
  <c r="V34" i="65"/>
  <c r="M34" i="65" s="1"/>
  <c r="U34" i="65"/>
  <c r="O34" i="65"/>
  <c r="K34" i="65"/>
  <c r="G34" i="65"/>
  <c r="X33" i="65"/>
  <c r="W33" i="65"/>
  <c r="V33" i="65"/>
  <c r="M33" i="65" s="1"/>
  <c r="O33" i="65"/>
  <c r="K33" i="65"/>
  <c r="G33" i="65"/>
  <c r="AD32" i="65"/>
  <c r="Z32" i="65"/>
  <c r="K19" i="64" s="1"/>
  <c r="Y32" i="65"/>
  <c r="K18" i="64" s="1"/>
  <c r="O32" i="65"/>
  <c r="K32" i="65"/>
  <c r="V31" i="65"/>
  <c r="M31" i="65" s="1"/>
  <c r="U31" i="65"/>
  <c r="O31" i="65"/>
  <c r="K31" i="65"/>
  <c r="G31" i="65"/>
  <c r="X30" i="65"/>
  <c r="W30" i="65"/>
  <c r="V30" i="65"/>
  <c r="M30" i="65" s="1"/>
  <c r="U30" i="65"/>
  <c r="O30" i="65"/>
  <c r="K30" i="65"/>
  <c r="G30" i="65"/>
  <c r="V29" i="65"/>
  <c r="M29" i="65" s="1"/>
  <c r="U29" i="65"/>
  <c r="O29" i="65"/>
  <c r="K29" i="65"/>
  <c r="G29" i="65"/>
  <c r="V28" i="65"/>
  <c r="M28" i="65" s="1"/>
  <c r="AF28" i="65" s="1"/>
  <c r="U28" i="65"/>
  <c r="O28" i="65"/>
  <c r="K28" i="65"/>
  <c r="G28" i="65"/>
  <c r="V27" i="65"/>
  <c r="U27" i="65"/>
  <c r="O27" i="65"/>
  <c r="M27" i="65"/>
  <c r="AF27" i="65" s="1"/>
  <c r="K27" i="65"/>
  <c r="G27" i="65"/>
  <c r="X26" i="65"/>
  <c r="W26" i="65"/>
  <c r="V26" i="65"/>
  <c r="M26" i="65" s="1"/>
  <c r="O26" i="65"/>
  <c r="K26" i="65"/>
  <c r="G26" i="65"/>
  <c r="AD25" i="65"/>
  <c r="G21" i="64" s="1"/>
  <c r="Z25" i="65"/>
  <c r="Y25" i="65"/>
  <c r="G18" i="64" s="1"/>
  <c r="O25" i="65"/>
  <c r="K25" i="65"/>
  <c r="V24" i="65"/>
  <c r="M24" i="65" s="1"/>
  <c r="AF24" i="65" s="1"/>
  <c r="U24" i="65"/>
  <c r="O24" i="65"/>
  <c r="K24" i="65"/>
  <c r="G24" i="65"/>
  <c r="V23" i="65"/>
  <c r="M23" i="65" s="1"/>
  <c r="AF23" i="65" s="1"/>
  <c r="U23" i="65"/>
  <c r="O23" i="65"/>
  <c r="K23" i="65"/>
  <c r="G23" i="65"/>
  <c r="V22" i="65"/>
  <c r="M22" i="65" s="1"/>
  <c r="AF22" i="65" s="1"/>
  <c r="U22" i="65"/>
  <c r="O22" i="65"/>
  <c r="K22" i="65"/>
  <c r="G22" i="65"/>
  <c r="V21" i="65"/>
  <c r="M21" i="65" s="1"/>
  <c r="U21" i="65"/>
  <c r="O21" i="65"/>
  <c r="K21" i="65"/>
  <c r="G21" i="65"/>
  <c r="V20" i="65"/>
  <c r="M20" i="65" s="1"/>
  <c r="U20" i="65"/>
  <c r="O20" i="65"/>
  <c r="K20" i="65"/>
  <c r="G20" i="65"/>
  <c r="V19" i="65"/>
  <c r="M19" i="65" s="1"/>
  <c r="O19" i="65"/>
  <c r="K19" i="65"/>
  <c r="G19" i="65"/>
  <c r="AD18" i="65"/>
  <c r="F21" i="64" s="1"/>
  <c r="Z18" i="65"/>
  <c r="Y18" i="65"/>
  <c r="O18" i="65"/>
  <c r="K18" i="65"/>
  <c r="V17" i="65"/>
  <c r="M17" i="65" s="1"/>
  <c r="U17" i="65"/>
  <c r="O17" i="65"/>
  <c r="K17" i="65"/>
  <c r="G17" i="65"/>
  <c r="V16" i="65"/>
  <c r="M16" i="65" s="1"/>
  <c r="U16" i="65"/>
  <c r="O16" i="65"/>
  <c r="K16" i="65"/>
  <c r="G16" i="65"/>
  <c r="V15" i="65"/>
  <c r="M15" i="65" s="1"/>
  <c r="U15" i="65"/>
  <c r="O15" i="65"/>
  <c r="K15" i="65"/>
  <c r="G15" i="65"/>
  <c r="V14" i="65"/>
  <c r="M14" i="65" s="1"/>
  <c r="O14" i="65"/>
  <c r="K14" i="65"/>
  <c r="G14" i="65"/>
  <c r="AD13" i="65"/>
  <c r="E21" i="64" s="1"/>
  <c r="Z13" i="65"/>
  <c r="Y13" i="65"/>
  <c r="O13" i="65"/>
  <c r="K13" i="65"/>
  <c r="V12" i="65"/>
  <c r="M12" i="65" s="1"/>
  <c r="N12" i="65" s="1"/>
  <c r="U12" i="65"/>
  <c r="O12" i="65"/>
  <c r="K12" i="65"/>
  <c r="G12" i="65"/>
  <c r="X11" i="65"/>
  <c r="W11" i="65"/>
  <c r="V11" i="65"/>
  <c r="M11" i="65" s="1"/>
  <c r="U11" i="65"/>
  <c r="O11" i="65"/>
  <c r="K11" i="65"/>
  <c r="G11" i="65"/>
  <c r="V10" i="65"/>
  <c r="M10" i="65" s="1"/>
  <c r="O10" i="65"/>
  <c r="K10" i="65"/>
  <c r="G10" i="65"/>
  <c r="AD9" i="65"/>
  <c r="Z9" i="65"/>
  <c r="Y9" i="65"/>
  <c r="O9" i="65"/>
  <c r="K9" i="65"/>
  <c r="V8" i="65"/>
  <c r="M8" i="65" s="1"/>
  <c r="U8" i="65"/>
  <c r="O8" i="65"/>
  <c r="K8" i="65"/>
  <c r="G8" i="65"/>
  <c r="V7" i="65"/>
  <c r="U7" i="65"/>
  <c r="O7" i="65"/>
  <c r="M7" i="65"/>
  <c r="AF7" i="65" s="1"/>
  <c r="K7" i="65"/>
  <c r="G7" i="65"/>
  <c r="V6" i="65"/>
  <c r="M6" i="65" s="1"/>
  <c r="AF6" i="65" s="1"/>
  <c r="U6" i="65"/>
  <c r="O6" i="65"/>
  <c r="K6" i="65"/>
  <c r="G6" i="65"/>
  <c r="V5" i="65"/>
  <c r="M5" i="65" s="1"/>
  <c r="M9" i="65" s="1"/>
  <c r="O5" i="65"/>
  <c r="K5" i="65"/>
  <c r="G5" i="65"/>
  <c r="H2" i="65"/>
  <c r="H1" i="65"/>
  <c r="D1" i="65"/>
  <c r="F3" i="64" s="1"/>
  <c r="M22" i="64"/>
  <c r="L22" i="64"/>
  <c r="K22" i="64"/>
  <c r="J22" i="64"/>
  <c r="I22" i="64"/>
  <c r="H22" i="64"/>
  <c r="G22" i="64"/>
  <c r="F22" i="64"/>
  <c r="E22" i="64"/>
  <c r="D22" i="64"/>
  <c r="M21" i="64"/>
  <c r="K21" i="64"/>
  <c r="J21" i="64"/>
  <c r="I21" i="64"/>
  <c r="H21" i="64"/>
  <c r="M20" i="64"/>
  <c r="L20" i="64"/>
  <c r="K20" i="64"/>
  <c r="J20" i="64"/>
  <c r="I20" i="64"/>
  <c r="H20" i="64"/>
  <c r="G20" i="64"/>
  <c r="F20" i="64"/>
  <c r="E20" i="64"/>
  <c r="D20" i="64"/>
  <c r="M19" i="64"/>
  <c r="J19" i="64"/>
  <c r="H19" i="64"/>
  <c r="G19" i="64"/>
  <c r="F19" i="64"/>
  <c r="E19" i="64"/>
  <c r="D19" i="64"/>
  <c r="M18" i="64"/>
  <c r="L18" i="64"/>
  <c r="J18" i="64"/>
  <c r="H18" i="64"/>
  <c r="F18" i="64"/>
  <c r="E18" i="64"/>
  <c r="D18" i="64"/>
  <c r="M17" i="64"/>
  <c r="L17" i="64"/>
  <c r="K17" i="64"/>
  <c r="J17" i="64"/>
  <c r="I17" i="64"/>
  <c r="H17" i="64"/>
  <c r="G17" i="64"/>
  <c r="F17" i="64"/>
  <c r="E17" i="64"/>
  <c r="D17" i="64"/>
  <c r="M16" i="64"/>
  <c r="L16" i="64"/>
  <c r="K16" i="64"/>
  <c r="J16" i="64"/>
  <c r="I16" i="64"/>
  <c r="H16" i="64"/>
  <c r="G16" i="64"/>
  <c r="F16" i="64"/>
  <c r="E16" i="64"/>
  <c r="D16" i="64"/>
  <c r="M13" i="64"/>
  <c r="L13" i="64"/>
  <c r="K13" i="64"/>
  <c r="J13" i="64"/>
  <c r="I13" i="64"/>
  <c r="H13" i="64"/>
  <c r="G13" i="64"/>
  <c r="F13" i="64"/>
  <c r="E13" i="64"/>
  <c r="D13" i="64"/>
  <c r="G6" i="64" s="1"/>
  <c r="M6" i="64"/>
  <c r="C3" i="64"/>
  <c r="AE21" i="65" l="1"/>
  <c r="AF21" i="65"/>
  <c r="N21" i="65"/>
  <c r="Q21" i="65" s="1"/>
  <c r="N64" i="65"/>
  <c r="AF64" i="65"/>
  <c r="AE64" i="65"/>
  <c r="AE65" i="65"/>
  <c r="AF65" i="65"/>
  <c r="M25" i="65"/>
  <c r="AF25" i="65" s="1"/>
  <c r="AG19" i="65" s="1"/>
  <c r="AF19" i="65"/>
  <c r="AE19" i="65"/>
  <c r="N20" i="65"/>
  <c r="AF20" i="65"/>
  <c r="AE20" i="65"/>
  <c r="N62" i="65"/>
  <c r="AF62" i="65"/>
  <c r="AE62" i="65"/>
  <c r="Y2" i="65"/>
  <c r="K6" i="64" s="1"/>
  <c r="N46" i="67"/>
  <c r="H14" i="66" s="1"/>
  <c r="H15" i="66" s="1"/>
  <c r="Z2" i="65"/>
  <c r="L6" i="64" s="1"/>
  <c r="N9" i="67"/>
  <c r="D14" i="66" s="1"/>
  <c r="Q49" i="67"/>
  <c r="P49" i="67"/>
  <c r="AD2" i="65"/>
  <c r="N6" i="64" s="1"/>
  <c r="AE9" i="67"/>
  <c r="Q50" i="67"/>
  <c r="P50" i="67"/>
  <c r="P24" i="67"/>
  <c r="Q24" i="67"/>
  <c r="AE45" i="65"/>
  <c r="AE46" i="67"/>
  <c r="AF45" i="65"/>
  <c r="Q7" i="67"/>
  <c r="P7" i="67"/>
  <c r="AE66" i="65"/>
  <c r="P22" i="67"/>
  <c r="AF66" i="65"/>
  <c r="P41" i="67"/>
  <c r="Q41" i="67"/>
  <c r="N61" i="67"/>
  <c r="J14" i="66" s="1"/>
  <c r="J15" i="66" s="1"/>
  <c r="P42" i="67"/>
  <c r="P47" i="67"/>
  <c r="N32" i="67"/>
  <c r="K14" i="66" s="1"/>
  <c r="K15" i="66" s="1"/>
  <c r="N68" i="67"/>
  <c r="AF68" i="67"/>
  <c r="AG62" i="67" s="1"/>
  <c r="AE68" i="67"/>
  <c r="P14" i="67"/>
  <c r="I6" i="64"/>
  <c r="F1" i="65"/>
  <c r="P60" i="67"/>
  <c r="Q60" i="67"/>
  <c r="AE61" i="67"/>
  <c r="P6" i="67"/>
  <c r="Q17" i="67"/>
  <c r="P17" i="67"/>
  <c r="AF67" i="65"/>
  <c r="P44" i="67"/>
  <c r="Q44" i="67"/>
  <c r="Q27" i="67"/>
  <c r="P27" i="67"/>
  <c r="AE32" i="67"/>
  <c r="AF55" i="67"/>
  <c r="AG47" i="67" s="1"/>
  <c r="AE55" i="67"/>
  <c r="P29" i="67"/>
  <c r="Q29" i="67"/>
  <c r="Q35" i="67"/>
  <c r="P35" i="67"/>
  <c r="Q11" i="67"/>
  <c r="P11" i="67"/>
  <c r="P12" i="67"/>
  <c r="Q12" i="67"/>
  <c r="P26" i="67"/>
  <c r="Q26" i="67"/>
  <c r="Q18" i="67"/>
  <c r="R14" i="67" s="1"/>
  <c r="P18" i="67"/>
  <c r="Q53" i="67"/>
  <c r="P53" i="67"/>
  <c r="Q30" i="67"/>
  <c r="P30" i="67"/>
  <c r="Q55" i="67"/>
  <c r="R47" i="67" s="1"/>
  <c r="P55" i="67"/>
  <c r="P46" i="67"/>
  <c r="Q51" i="67"/>
  <c r="P51" i="67"/>
  <c r="Q9" i="67"/>
  <c r="R5" i="67" s="1"/>
  <c r="P9" i="67"/>
  <c r="P28" i="67"/>
  <c r="Q28" i="67"/>
  <c r="P8" i="67"/>
  <c r="Q8" i="67"/>
  <c r="P25" i="67"/>
  <c r="Q25" i="67"/>
  <c r="R19" i="67" s="1"/>
  <c r="Q32" i="67"/>
  <c r="R26" i="67" s="1"/>
  <c r="P32" i="67"/>
  <c r="P54" i="67"/>
  <c r="Q54" i="67"/>
  <c r="N40" i="67"/>
  <c r="L14" i="66" s="1"/>
  <c r="AE40" i="67"/>
  <c r="AF40" i="67"/>
  <c r="AG33" i="67" s="1"/>
  <c r="P52" i="67"/>
  <c r="Q52" i="67"/>
  <c r="Q10" i="67"/>
  <c r="P10" i="67"/>
  <c r="P34" i="67"/>
  <c r="Q34" i="67"/>
  <c r="P31" i="67"/>
  <c r="Q31" i="67"/>
  <c r="AF13" i="67"/>
  <c r="AG10" i="67" s="1"/>
  <c r="N13" i="67"/>
  <c r="E14" i="66" s="1"/>
  <c r="E15" i="66" s="1"/>
  <c r="AE13" i="67"/>
  <c r="AF12" i="65"/>
  <c r="AE12" i="65"/>
  <c r="N17" i="65"/>
  <c r="AF17" i="65"/>
  <c r="AE17" i="65"/>
  <c r="N57" i="65"/>
  <c r="AF57" i="65"/>
  <c r="AE57" i="65"/>
  <c r="N15" i="65"/>
  <c r="AF15" i="65"/>
  <c r="AE15" i="65"/>
  <c r="AF29" i="65"/>
  <c r="AE29" i="65"/>
  <c r="N29" i="65"/>
  <c r="AF31" i="65"/>
  <c r="AE31" i="65"/>
  <c r="N31" i="65"/>
  <c r="Q45" i="65"/>
  <c r="P45" i="65"/>
  <c r="Q20" i="65"/>
  <c r="P20" i="65"/>
  <c r="N53" i="65"/>
  <c r="AF53" i="65"/>
  <c r="AE53" i="65"/>
  <c r="N60" i="65"/>
  <c r="AF60" i="65"/>
  <c r="AE60" i="65"/>
  <c r="N42" i="65"/>
  <c r="AF42" i="65"/>
  <c r="AE42" i="65"/>
  <c r="N11" i="65"/>
  <c r="AF11" i="65"/>
  <c r="AE11" i="65"/>
  <c r="N36" i="65"/>
  <c r="AF36" i="65"/>
  <c r="AE36" i="65"/>
  <c r="N38" i="65"/>
  <c r="AF38" i="65"/>
  <c r="AE38" i="65"/>
  <c r="Q66" i="65"/>
  <c r="P66" i="65"/>
  <c r="N58" i="65"/>
  <c r="AF58" i="65"/>
  <c r="AE58" i="65"/>
  <c r="AF34" i="65"/>
  <c r="AE34" i="65"/>
  <c r="N34" i="65"/>
  <c r="N41" i="65"/>
  <c r="AF41" i="65"/>
  <c r="M46" i="65"/>
  <c r="AE41" i="65"/>
  <c r="N43" i="65"/>
  <c r="AF43" i="65"/>
  <c r="AE43" i="65"/>
  <c r="N9" i="65"/>
  <c r="AF9" i="65"/>
  <c r="AG5" i="65" s="1"/>
  <c r="AE9" i="65"/>
  <c r="N16" i="65"/>
  <c r="AF16" i="65"/>
  <c r="AE16" i="65"/>
  <c r="M32" i="65"/>
  <c r="AF26" i="65"/>
  <c r="AE26" i="65"/>
  <c r="N26" i="65"/>
  <c r="N30" i="65"/>
  <c r="AF30" i="65"/>
  <c r="AE30" i="65"/>
  <c r="N56" i="65"/>
  <c r="AF56" i="65"/>
  <c r="M61" i="65"/>
  <c r="AE56" i="65"/>
  <c r="F6" i="64"/>
  <c r="Q12" i="65"/>
  <c r="P12" i="65"/>
  <c r="N14" i="65"/>
  <c r="M18" i="65"/>
  <c r="AF14" i="65"/>
  <c r="AE14" i="65"/>
  <c r="N37" i="65"/>
  <c r="AF37" i="65"/>
  <c r="AE37" i="65"/>
  <c r="N39" i="65"/>
  <c r="AF39" i="65"/>
  <c r="AE39" i="65"/>
  <c r="E6" i="64"/>
  <c r="AF52" i="65"/>
  <c r="AE52" i="65"/>
  <c r="N52" i="65"/>
  <c r="AF54" i="65"/>
  <c r="AE54" i="65"/>
  <c r="N54" i="65"/>
  <c r="N59" i="65"/>
  <c r="AF59" i="65"/>
  <c r="AE59" i="65"/>
  <c r="N63" i="65"/>
  <c r="M68" i="65"/>
  <c r="AF63" i="65"/>
  <c r="AE63" i="65"/>
  <c r="Q64" i="65"/>
  <c r="P64" i="65"/>
  <c r="AF8" i="65"/>
  <c r="AE8" i="65"/>
  <c r="N8" i="65"/>
  <c r="N10" i="65"/>
  <c r="M13" i="65"/>
  <c r="AF10" i="65"/>
  <c r="AE10" i="65"/>
  <c r="N33" i="65"/>
  <c r="AF33" i="65"/>
  <c r="M40" i="65"/>
  <c r="AE33" i="65"/>
  <c r="N35" i="65"/>
  <c r="AF35" i="65"/>
  <c r="AE35" i="65"/>
  <c r="N44" i="65"/>
  <c r="AF44" i="65"/>
  <c r="AE44" i="65"/>
  <c r="Q62" i="65"/>
  <c r="P62" i="65"/>
  <c r="N28" i="65"/>
  <c r="N51" i="65"/>
  <c r="N7" i="65"/>
  <c r="N24" i="65"/>
  <c r="N27" i="65"/>
  <c r="N50" i="65"/>
  <c r="N5" i="65"/>
  <c r="N6" i="65"/>
  <c r="N23" i="65"/>
  <c r="N49" i="65"/>
  <c r="N22" i="65"/>
  <c r="N47" i="65"/>
  <c r="N48" i="65"/>
  <c r="N65" i="65"/>
  <c r="N67" i="65"/>
  <c r="N19" i="65"/>
  <c r="D21" i="64"/>
  <c r="P21" i="65"/>
  <c r="AE28" i="65"/>
  <c r="AE51" i="65"/>
  <c r="AE7" i="65"/>
  <c r="AE24" i="65"/>
  <c r="AE27" i="65"/>
  <c r="AE50" i="65"/>
  <c r="AE5" i="65"/>
  <c r="AE6" i="65"/>
  <c r="AE23" i="65"/>
  <c r="AE49" i="65"/>
  <c r="M55" i="65"/>
  <c r="AF5" i="65"/>
  <c r="AE22" i="65"/>
  <c r="AE47" i="65"/>
  <c r="AE48" i="65"/>
  <c r="L15" i="66" l="1"/>
  <c r="P61" i="67"/>
  <c r="Q61" i="67"/>
  <c r="R56" i="67" s="1"/>
  <c r="F2" i="65"/>
  <c r="I3" i="64"/>
  <c r="N25" i="65"/>
  <c r="AE25" i="65"/>
  <c r="D2" i="67"/>
  <c r="M14" i="66"/>
  <c r="M15" i="66" s="1"/>
  <c r="I8" i="66" s="1"/>
  <c r="Q68" i="67"/>
  <c r="R62" i="67" s="1"/>
  <c r="P68" i="67"/>
  <c r="Q46" i="67"/>
  <c r="R41" i="67" s="1"/>
  <c r="F7" i="66"/>
  <c r="D15" i="66"/>
  <c r="G7" i="66"/>
  <c r="Q13" i="67"/>
  <c r="R10" i="67" s="1"/>
  <c r="P13" i="67"/>
  <c r="P40" i="67"/>
  <c r="Q40" i="67"/>
  <c r="R33" i="67" s="1"/>
  <c r="Q47" i="65"/>
  <c r="P47" i="65"/>
  <c r="Q63" i="65"/>
  <c r="P63" i="65"/>
  <c r="Q25" i="65"/>
  <c r="R19" i="65" s="1"/>
  <c r="P25" i="65"/>
  <c r="G14" i="64"/>
  <c r="G15" i="64" s="1"/>
  <c r="Q22" i="65"/>
  <c r="P22" i="65"/>
  <c r="P39" i="65"/>
  <c r="Q39" i="65"/>
  <c r="N32" i="65"/>
  <c r="AF32" i="65"/>
  <c r="AG26" i="65" s="1"/>
  <c r="AE32" i="65"/>
  <c r="Q38" i="65"/>
  <c r="P38" i="65"/>
  <c r="Q60" i="65"/>
  <c r="P60" i="65"/>
  <c r="Q49" i="65"/>
  <c r="P49" i="65"/>
  <c r="N13" i="65"/>
  <c r="AF13" i="65"/>
  <c r="AG10" i="65" s="1"/>
  <c r="AE13" i="65"/>
  <c r="Q41" i="65"/>
  <c r="P41" i="65"/>
  <c r="Q23" i="65"/>
  <c r="P23" i="65"/>
  <c r="Q10" i="65"/>
  <c r="P10" i="65"/>
  <c r="Q59" i="65"/>
  <c r="P59" i="65"/>
  <c r="Q34" i="65"/>
  <c r="P34" i="65"/>
  <c r="Q6" i="65"/>
  <c r="P6" i="65"/>
  <c r="Q44" i="65"/>
  <c r="P44" i="65"/>
  <c r="Q8" i="65"/>
  <c r="P8" i="65"/>
  <c r="Q54" i="65"/>
  <c r="P54" i="65"/>
  <c r="N61" i="65"/>
  <c r="AF61" i="65"/>
  <c r="AG56" i="65" s="1"/>
  <c r="AE61" i="65"/>
  <c r="P16" i="65"/>
  <c r="Q16" i="65"/>
  <c r="Q36" i="65"/>
  <c r="P36" i="65"/>
  <c r="Q53" i="65"/>
  <c r="P53" i="65"/>
  <c r="Q5" i="65"/>
  <c r="P5" i="65"/>
  <c r="Q15" i="65"/>
  <c r="P15" i="65"/>
  <c r="Q50" i="65"/>
  <c r="P50" i="65"/>
  <c r="Q56" i="65"/>
  <c r="P56" i="65"/>
  <c r="N55" i="65"/>
  <c r="AF55" i="65"/>
  <c r="AG47" i="65" s="1"/>
  <c r="AE55" i="65"/>
  <c r="AE46" i="65"/>
  <c r="N46" i="65"/>
  <c r="AF46" i="65"/>
  <c r="AG41" i="65" s="1"/>
  <c r="Q29" i="65"/>
  <c r="P29" i="65"/>
  <c r="P37" i="65"/>
  <c r="Q37" i="65"/>
  <c r="Q27" i="65"/>
  <c r="P27" i="65"/>
  <c r="Q35" i="65"/>
  <c r="P35" i="65"/>
  <c r="Q52" i="65"/>
  <c r="P52" i="65"/>
  <c r="N18" i="65"/>
  <c r="AF18" i="65"/>
  <c r="AG14" i="65" s="1"/>
  <c r="AE18" i="65"/>
  <c r="Q9" i="65"/>
  <c r="R5" i="65" s="1"/>
  <c r="P9" i="65"/>
  <c r="D14" i="64"/>
  <c r="Q11" i="65"/>
  <c r="P11" i="65"/>
  <c r="Q19" i="65"/>
  <c r="P19" i="65"/>
  <c r="Q24" i="65"/>
  <c r="P24" i="65"/>
  <c r="Q14" i="65"/>
  <c r="P14" i="65"/>
  <c r="P58" i="65"/>
  <c r="Q58" i="65"/>
  <c r="Q57" i="65"/>
  <c r="P57" i="65"/>
  <c r="Q67" i="65"/>
  <c r="P67" i="65"/>
  <c r="Q7" i="65"/>
  <c r="P7" i="65"/>
  <c r="N40" i="65"/>
  <c r="AF40" i="65"/>
  <c r="AG33" i="65" s="1"/>
  <c r="AE40" i="65"/>
  <c r="Q30" i="65"/>
  <c r="P30" i="65"/>
  <c r="Q31" i="65"/>
  <c r="P31" i="65"/>
  <c r="Q65" i="65"/>
  <c r="P65" i="65"/>
  <c r="Q51" i="65"/>
  <c r="P51" i="65"/>
  <c r="Q26" i="65"/>
  <c r="P26" i="65"/>
  <c r="Q43" i="65"/>
  <c r="P43" i="65"/>
  <c r="P42" i="65"/>
  <c r="Q42" i="65"/>
  <c r="Q48" i="65"/>
  <c r="P48" i="65"/>
  <c r="Q28" i="65"/>
  <c r="P28" i="65"/>
  <c r="Q33" i="65"/>
  <c r="P33" i="65"/>
  <c r="AF68" i="65"/>
  <c r="AG62" i="65" s="1"/>
  <c r="AE68" i="65"/>
  <c r="N68" i="65"/>
  <c r="Q17" i="65"/>
  <c r="P17" i="65"/>
  <c r="G8" i="66" l="1"/>
  <c r="F8" i="66"/>
  <c r="E8" i="66"/>
  <c r="I7" i="66"/>
  <c r="E7" i="66"/>
  <c r="Q32" i="65"/>
  <c r="R26" i="65" s="1"/>
  <c r="P32" i="65"/>
  <c r="K14" i="64"/>
  <c r="I14" i="64"/>
  <c r="I15" i="64" s="1"/>
  <c r="Q55" i="65"/>
  <c r="R47" i="65" s="1"/>
  <c r="P55" i="65"/>
  <c r="Q61" i="65"/>
  <c r="R56" i="65" s="1"/>
  <c r="P61" i="65"/>
  <c r="J14" i="64"/>
  <c r="J15" i="64" s="1"/>
  <c r="D15" i="64"/>
  <c r="Q13" i="65"/>
  <c r="R10" i="65" s="1"/>
  <c r="P13" i="65"/>
  <c r="E14" i="64"/>
  <c r="E15" i="64" s="1"/>
  <c r="D2" i="65"/>
  <c r="Q68" i="65"/>
  <c r="R62" i="65" s="1"/>
  <c r="P68" i="65"/>
  <c r="M14" i="64"/>
  <c r="M15" i="64" s="1"/>
  <c r="Q18" i="65"/>
  <c r="R14" i="65" s="1"/>
  <c r="P18" i="65"/>
  <c r="F14" i="64"/>
  <c r="F15" i="64" s="1"/>
  <c r="Q46" i="65"/>
  <c r="R41" i="65" s="1"/>
  <c r="P46" i="65"/>
  <c r="H14" i="64"/>
  <c r="H15" i="64" s="1"/>
  <c r="Q40" i="65"/>
  <c r="R33" i="65" s="1"/>
  <c r="P40" i="65"/>
  <c r="L14" i="64"/>
  <c r="L15" i="64" s="1"/>
  <c r="F7" i="64" l="1"/>
  <c r="G7" i="64"/>
  <c r="F8" i="64"/>
  <c r="G8" i="64"/>
  <c r="E7" i="64"/>
  <c r="K15" i="64"/>
  <c r="I8" i="64" s="1"/>
  <c r="I7" i="64"/>
  <c r="E8" i="64" l="1"/>
  <c r="AD73" i="63" l="1"/>
  <c r="Z73" i="63"/>
  <c r="Y73" i="63"/>
  <c r="O73" i="63"/>
  <c r="K73" i="63"/>
  <c r="V72" i="63"/>
  <c r="M72" i="63" s="1"/>
  <c r="U72" i="63"/>
  <c r="O72" i="63"/>
  <c r="K72" i="63"/>
  <c r="G72" i="63"/>
  <c r="AF71" i="63"/>
  <c r="V71" i="63"/>
  <c r="U71" i="63"/>
  <c r="O71" i="63"/>
  <c r="M71" i="63"/>
  <c r="N71" i="63" s="1"/>
  <c r="K71" i="63"/>
  <c r="G71" i="63"/>
  <c r="X70" i="63"/>
  <c r="W70" i="63"/>
  <c r="V70" i="63"/>
  <c r="U70" i="63"/>
  <c r="O70" i="63"/>
  <c r="M70" i="63"/>
  <c r="AF70" i="63" s="1"/>
  <c r="K70" i="63"/>
  <c r="G70" i="63"/>
  <c r="AE69" i="63"/>
  <c r="V69" i="63"/>
  <c r="U69" i="63"/>
  <c r="O69" i="63"/>
  <c r="M69" i="63"/>
  <c r="N69" i="63" s="1"/>
  <c r="K69" i="63"/>
  <c r="G69" i="63"/>
  <c r="V68" i="63"/>
  <c r="M68" i="63" s="1"/>
  <c r="U68" i="63"/>
  <c r="O68" i="63"/>
  <c r="K68" i="63"/>
  <c r="G68" i="63"/>
  <c r="V67" i="63"/>
  <c r="U67" i="63"/>
  <c r="O67" i="63"/>
  <c r="M67" i="63"/>
  <c r="N67" i="63" s="1"/>
  <c r="K67" i="63"/>
  <c r="G67" i="63"/>
  <c r="AF66" i="63"/>
  <c r="AE66" i="63"/>
  <c r="X66" i="63"/>
  <c r="W66" i="63"/>
  <c r="V66" i="63"/>
  <c r="O66" i="63"/>
  <c r="N66" i="63"/>
  <c r="Q66" i="63" s="1"/>
  <c r="M66" i="63"/>
  <c r="K66" i="63"/>
  <c r="G66" i="63"/>
  <c r="AD65" i="63"/>
  <c r="J21" i="62" s="1"/>
  <c r="Z65" i="63"/>
  <c r="Y65" i="63"/>
  <c r="O65" i="63"/>
  <c r="K65" i="63"/>
  <c r="V64" i="63"/>
  <c r="U64" i="63"/>
  <c r="O64" i="63"/>
  <c r="M64" i="63"/>
  <c r="N64" i="63" s="1"/>
  <c r="K64" i="63"/>
  <c r="G64" i="63"/>
  <c r="V63" i="63"/>
  <c r="M63" i="63" s="1"/>
  <c r="U63" i="63"/>
  <c r="O63" i="63"/>
  <c r="K63" i="63"/>
  <c r="G63" i="63"/>
  <c r="AF62" i="63"/>
  <c r="AE62" i="63"/>
  <c r="V62" i="63"/>
  <c r="U62" i="63"/>
  <c r="O62" i="63"/>
  <c r="M62" i="63"/>
  <c r="N62" i="63" s="1"/>
  <c r="K62" i="63"/>
  <c r="G62" i="63"/>
  <c r="V61" i="63"/>
  <c r="M61" i="63" s="1"/>
  <c r="U61" i="63"/>
  <c r="O61" i="63"/>
  <c r="K61" i="63"/>
  <c r="G61" i="63"/>
  <c r="V60" i="63"/>
  <c r="O60" i="63"/>
  <c r="M60" i="63"/>
  <c r="N60" i="63" s="1"/>
  <c r="K60" i="63"/>
  <c r="G60" i="63"/>
  <c r="AD59" i="63"/>
  <c r="Z59" i="63"/>
  <c r="Y59" i="63"/>
  <c r="O59" i="63"/>
  <c r="K59" i="63"/>
  <c r="V58" i="63"/>
  <c r="U58" i="63"/>
  <c r="O58" i="63"/>
  <c r="M58" i="63"/>
  <c r="AE58" i="63" s="1"/>
  <c r="K58" i="63"/>
  <c r="G58" i="63"/>
  <c r="X57" i="63"/>
  <c r="W57" i="63"/>
  <c r="V57" i="63"/>
  <c r="U57" i="63"/>
  <c r="O57" i="63"/>
  <c r="N57" i="63"/>
  <c r="P57" i="63" s="1"/>
  <c r="M57" i="63"/>
  <c r="AF57" i="63" s="1"/>
  <c r="K57" i="63"/>
  <c r="G57" i="63"/>
  <c r="V56" i="63"/>
  <c r="U56" i="63"/>
  <c r="O56" i="63"/>
  <c r="M56" i="63"/>
  <c r="K56" i="63"/>
  <c r="G56" i="63"/>
  <c r="V55" i="63"/>
  <c r="M55" i="63" s="1"/>
  <c r="U55" i="63"/>
  <c r="O55" i="63"/>
  <c r="K55" i="63"/>
  <c r="G55" i="63"/>
  <c r="V54" i="63"/>
  <c r="U54" i="63"/>
  <c r="O54" i="63"/>
  <c r="M54" i="63"/>
  <c r="AF54" i="63" s="1"/>
  <c r="K54" i="63"/>
  <c r="G54" i="63"/>
  <c r="AF53" i="63"/>
  <c r="V53" i="63"/>
  <c r="U53" i="63"/>
  <c r="Q53" i="63"/>
  <c r="O53" i="63"/>
  <c r="N53" i="63"/>
  <c r="P53" i="63" s="1"/>
  <c r="M53" i="63"/>
  <c r="AE53" i="63" s="1"/>
  <c r="K53" i="63"/>
  <c r="G53" i="63"/>
  <c r="V52" i="63"/>
  <c r="U52" i="63"/>
  <c r="O52" i="63"/>
  <c r="M52" i="63"/>
  <c r="AF52" i="63" s="1"/>
  <c r="K52" i="63"/>
  <c r="G52" i="63"/>
  <c r="AF51" i="63"/>
  <c r="V51" i="63"/>
  <c r="P51" i="63"/>
  <c r="O51" i="63"/>
  <c r="N51" i="63"/>
  <c r="Q51" i="63" s="1"/>
  <c r="M51" i="63"/>
  <c r="AE51" i="63" s="1"/>
  <c r="K51" i="63"/>
  <c r="G51" i="63"/>
  <c r="AD50" i="63"/>
  <c r="Z50" i="63"/>
  <c r="Y50" i="63"/>
  <c r="O50" i="63"/>
  <c r="K50" i="63"/>
  <c r="V49" i="63"/>
  <c r="M49" i="63" s="1"/>
  <c r="U49" i="63"/>
  <c r="O49" i="63"/>
  <c r="K49" i="63"/>
  <c r="G49" i="63"/>
  <c r="AE48" i="63"/>
  <c r="V48" i="63"/>
  <c r="U48" i="63"/>
  <c r="O48" i="63"/>
  <c r="M48" i="63"/>
  <c r="N48" i="63" s="1"/>
  <c r="K48" i="63"/>
  <c r="G48" i="63"/>
  <c r="V47" i="63"/>
  <c r="U47" i="63"/>
  <c r="O47" i="63"/>
  <c r="M47" i="63"/>
  <c r="N47" i="63" s="1"/>
  <c r="K47" i="63"/>
  <c r="G47" i="63"/>
  <c r="V46" i="63"/>
  <c r="U46" i="63"/>
  <c r="O46" i="63"/>
  <c r="M46" i="63"/>
  <c r="N46" i="63" s="1"/>
  <c r="K46" i="63"/>
  <c r="G46" i="63"/>
  <c r="X45" i="63"/>
  <c r="W45" i="63"/>
  <c r="V45" i="63"/>
  <c r="O45" i="63"/>
  <c r="M45" i="63"/>
  <c r="N45" i="63" s="1"/>
  <c r="K45" i="63"/>
  <c r="G45" i="63"/>
  <c r="AD44" i="63"/>
  <c r="Z44" i="63"/>
  <c r="L19" i="62" s="1"/>
  <c r="Y44" i="63"/>
  <c r="L18" i="62" s="1"/>
  <c r="O44" i="63"/>
  <c r="K44" i="63"/>
  <c r="V43" i="63"/>
  <c r="M43" i="63" s="1"/>
  <c r="U43" i="63"/>
  <c r="O43" i="63"/>
  <c r="K43" i="63"/>
  <c r="G43" i="63"/>
  <c r="V42" i="63"/>
  <c r="M42" i="63" s="1"/>
  <c r="U42" i="63"/>
  <c r="O42" i="63"/>
  <c r="K42" i="63"/>
  <c r="G42" i="63"/>
  <c r="V41" i="63"/>
  <c r="M41" i="63" s="1"/>
  <c r="U41" i="63"/>
  <c r="O41" i="63"/>
  <c r="K41" i="63"/>
  <c r="G41" i="63"/>
  <c r="AF40" i="63"/>
  <c r="X40" i="63"/>
  <c r="W40" i="63"/>
  <c r="V40" i="63"/>
  <c r="U40" i="63"/>
  <c r="O40" i="63"/>
  <c r="M40" i="63"/>
  <c r="N40" i="63" s="1"/>
  <c r="K40" i="63"/>
  <c r="G40" i="63"/>
  <c r="V39" i="63"/>
  <c r="M39" i="63" s="1"/>
  <c r="U39" i="63"/>
  <c r="O39" i="63"/>
  <c r="K39" i="63"/>
  <c r="G39" i="63"/>
  <c r="V38" i="63"/>
  <c r="M38" i="63" s="1"/>
  <c r="AE38" i="63" s="1"/>
  <c r="U38" i="63"/>
  <c r="O38" i="63"/>
  <c r="K38" i="63"/>
  <c r="G38" i="63"/>
  <c r="V37" i="63"/>
  <c r="M37" i="63" s="1"/>
  <c r="M44" i="63" s="1"/>
  <c r="U37" i="63"/>
  <c r="O37" i="63"/>
  <c r="K37" i="63"/>
  <c r="G37" i="63"/>
  <c r="X36" i="63"/>
  <c r="W36" i="63"/>
  <c r="V36" i="63"/>
  <c r="O36" i="63"/>
  <c r="M36" i="63"/>
  <c r="N36" i="63" s="1"/>
  <c r="P36" i="63" s="1"/>
  <c r="K36" i="63"/>
  <c r="G36" i="63"/>
  <c r="AD35" i="63"/>
  <c r="Z35" i="63"/>
  <c r="Y35" i="63"/>
  <c r="O35" i="63"/>
  <c r="K35" i="63"/>
  <c r="V34" i="63"/>
  <c r="U34" i="63"/>
  <c r="O34" i="63"/>
  <c r="M34" i="63"/>
  <c r="AF34" i="63" s="1"/>
  <c r="K34" i="63"/>
  <c r="G34" i="63"/>
  <c r="V33" i="63"/>
  <c r="U33" i="63"/>
  <c r="O33" i="63"/>
  <c r="M33" i="63"/>
  <c r="AE33" i="63" s="1"/>
  <c r="K33" i="63"/>
  <c r="G33" i="63"/>
  <c r="X32" i="63"/>
  <c r="W32" i="63"/>
  <c r="V32" i="63"/>
  <c r="U32" i="63"/>
  <c r="O32" i="63"/>
  <c r="M32" i="63"/>
  <c r="K32" i="63"/>
  <c r="G32" i="63"/>
  <c r="AF31" i="63"/>
  <c r="V31" i="63"/>
  <c r="U31" i="63"/>
  <c r="O31" i="63"/>
  <c r="M31" i="63"/>
  <c r="N31" i="63" s="1"/>
  <c r="Q31" i="63" s="1"/>
  <c r="K31" i="63"/>
  <c r="G31" i="63"/>
  <c r="AF30" i="63"/>
  <c r="V30" i="63"/>
  <c r="U30" i="63"/>
  <c r="O30" i="63"/>
  <c r="M30" i="63"/>
  <c r="AE30" i="63" s="1"/>
  <c r="K30" i="63"/>
  <c r="G30" i="63"/>
  <c r="AE29" i="63"/>
  <c r="V29" i="63"/>
  <c r="U29" i="63"/>
  <c r="O29" i="63"/>
  <c r="M29" i="63"/>
  <c r="N29" i="63" s="1"/>
  <c r="K29" i="63"/>
  <c r="G29" i="63"/>
  <c r="AF28" i="63"/>
  <c r="X28" i="63"/>
  <c r="W28" i="63"/>
  <c r="V28" i="63"/>
  <c r="O28" i="63"/>
  <c r="M28" i="63"/>
  <c r="AE28" i="63" s="1"/>
  <c r="K28" i="63"/>
  <c r="G28" i="63"/>
  <c r="AD27" i="63"/>
  <c r="Z27" i="63"/>
  <c r="Y27" i="63"/>
  <c r="O27" i="63"/>
  <c r="K27" i="63"/>
  <c r="G13" i="62" s="1"/>
  <c r="V26" i="63"/>
  <c r="M26" i="63" s="1"/>
  <c r="U26" i="63"/>
  <c r="O26" i="63"/>
  <c r="K26" i="63"/>
  <c r="G26" i="63"/>
  <c r="X25" i="63"/>
  <c r="W25" i="63"/>
  <c r="V25" i="63"/>
  <c r="U25" i="63"/>
  <c r="O25" i="63"/>
  <c r="M25" i="63"/>
  <c r="AF25" i="63" s="1"/>
  <c r="K25" i="63"/>
  <c r="G25" i="63"/>
  <c r="V24" i="63"/>
  <c r="M24" i="63" s="1"/>
  <c r="U24" i="63"/>
  <c r="O24" i="63"/>
  <c r="K24" i="63"/>
  <c r="G24" i="63"/>
  <c r="V23" i="63"/>
  <c r="M23" i="63" s="1"/>
  <c r="U23" i="63"/>
  <c r="O23" i="63"/>
  <c r="K23" i="63"/>
  <c r="G23" i="63"/>
  <c r="V22" i="63"/>
  <c r="M22" i="63" s="1"/>
  <c r="U22" i="63"/>
  <c r="O22" i="63"/>
  <c r="K22" i="63"/>
  <c r="G22" i="63"/>
  <c r="V21" i="63"/>
  <c r="M21" i="63" s="1"/>
  <c r="U21" i="63"/>
  <c r="O21" i="63"/>
  <c r="K21" i="63"/>
  <c r="G21" i="63"/>
  <c r="V20" i="63"/>
  <c r="M20" i="63" s="1"/>
  <c r="O20" i="63"/>
  <c r="K20" i="63"/>
  <c r="G20" i="63"/>
  <c r="AD19" i="63"/>
  <c r="Z19" i="63"/>
  <c r="Y19" i="63"/>
  <c r="O19" i="63"/>
  <c r="K19" i="63"/>
  <c r="AE18" i="63"/>
  <c r="V18" i="63"/>
  <c r="U18" i="63"/>
  <c r="O18" i="63"/>
  <c r="M18" i="63"/>
  <c r="AF18" i="63" s="1"/>
  <c r="K18" i="63"/>
  <c r="G18" i="63"/>
  <c r="X17" i="63"/>
  <c r="W17" i="63"/>
  <c r="V17" i="63"/>
  <c r="M17" i="63" s="1"/>
  <c r="U17" i="63"/>
  <c r="O17" i="63"/>
  <c r="K17" i="63"/>
  <c r="G17" i="63"/>
  <c r="AE16" i="63"/>
  <c r="V16" i="63"/>
  <c r="U16" i="63"/>
  <c r="O16" i="63"/>
  <c r="M16" i="63"/>
  <c r="AF16" i="63" s="1"/>
  <c r="K16" i="63"/>
  <c r="G16" i="63"/>
  <c r="V15" i="63"/>
  <c r="M15" i="63" s="1"/>
  <c r="U15" i="63"/>
  <c r="O15" i="63"/>
  <c r="K15" i="63"/>
  <c r="G15" i="63"/>
  <c r="V14" i="63"/>
  <c r="O14" i="63"/>
  <c r="M14" i="63"/>
  <c r="N14" i="63" s="1"/>
  <c r="K14" i="63"/>
  <c r="G14" i="63"/>
  <c r="AD13" i="63"/>
  <c r="Z13" i="63"/>
  <c r="Y13" i="63"/>
  <c r="O13" i="63"/>
  <c r="K13" i="63"/>
  <c r="V12" i="63"/>
  <c r="U12" i="63"/>
  <c r="O12" i="63"/>
  <c r="M12" i="63"/>
  <c r="M13" i="63" s="1"/>
  <c r="K12" i="63"/>
  <c r="G12" i="63"/>
  <c r="AF11" i="63"/>
  <c r="X11" i="63"/>
  <c r="W11" i="63"/>
  <c r="V11" i="63"/>
  <c r="U11" i="63"/>
  <c r="O11" i="63"/>
  <c r="M11" i="63"/>
  <c r="AE11" i="63" s="1"/>
  <c r="K11" i="63"/>
  <c r="G11" i="63"/>
  <c r="V10" i="63"/>
  <c r="O10" i="63"/>
  <c r="M10" i="63"/>
  <c r="AF10" i="63" s="1"/>
  <c r="K10" i="63"/>
  <c r="G10" i="63"/>
  <c r="AD9" i="63"/>
  <c r="Z9" i="63"/>
  <c r="Y9" i="63"/>
  <c r="O9" i="63"/>
  <c r="K9" i="63"/>
  <c r="V8" i="63"/>
  <c r="M8" i="63" s="1"/>
  <c r="M9" i="63" s="1"/>
  <c r="U8" i="63"/>
  <c r="O8" i="63"/>
  <c r="K8" i="63"/>
  <c r="G8" i="63"/>
  <c r="V7" i="63"/>
  <c r="U7" i="63"/>
  <c r="O7" i="63"/>
  <c r="M7" i="63"/>
  <c r="AF7" i="63" s="1"/>
  <c r="K7" i="63"/>
  <c r="G7" i="63"/>
  <c r="AE6" i="63"/>
  <c r="V6" i="63"/>
  <c r="U6" i="63"/>
  <c r="O6" i="63"/>
  <c r="M6" i="63"/>
  <c r="N6" i="63" s="1"/>
  <c r="K6" i="63"/>
  <c r="G6" i="63"/>
  <c r="AE5" i="63"/>
  <c r="V5" i="63"/>
  <c r="O5" i="63"/>
  <c r="M5" i="63"/>
  <c r="AF5" i="63" s="1"/>
  <c r="K5" i="63"/>
  <c r="G5" i="63"/>
  <c r="F1" i="63" s="1"/>
  <c r="AD2" i="63"/>
  <c r="N6" i="62" s="1"/>
  <c r="H2" i="63"/>
  <c r="H1" i="63"/>
  <c r="D1" i="63"/>
  <c r="M22" i="62"/>
  <c r="L22" i="62"/>
  <c r="K22" i="62"/>
  <c r="J22" i="62"/>
  <c r="I22" i="62"/>
  <c r="H22" i="62"/>
  <c r="G22" i="62"/>
  <c r="F22" i="62"/>
  <c r="E22" i="62"/>
  <c r="D22" i="62"/>
  <c r="M21" i="62"/>
  <c r="L21" i="62"/>
  <c r="K21" i="62"/>
  <c r="I21" i="62"/>
  <c r="H21" i="62"/>
  <c r="G21" i="62"/>
  <c r="F21" i="62"/>
  <c r="E21" i="62"/>
  <c r="D21" i="62"/>
  <c r="M20" i="62"/>
  <c r="L20" i="62"/>
  <c r="K20" i="62"/>
  <c r="J20" i="62"/>
  <c r="I20" i="62"/>
  <c r="H20" i="62"/>
  <c r="G20" i="62"/>
  <c r="F20" i="62"/>
  <c r="E20" i="62"/>
  <c r="D20" i="62"/>
  <c r="M19" i="62"/>
  <c r="K19" i="62"/>
  <c r="J19" i="62"/>
  <c r="I19" i="62"/>
  <c r="H19" i="62"/>
  <c r="G19" i="62"/>
  <c r="F19" i="62"/>
  <c r="E19" i="62"/>
  <c r="D19" i="62"/>
  <c r="M18" i="62"/>
  <c r="K18" i="62"/>
  <c r="J18" i="62"/>
  <c r="I18" i="62"/>
  <c r="H18" i="62"/>
  <c r="G18" i="62"/>
  <c r="E18" i="62"/>
  <c r="D18" i="62"/>
  <c r="M17" i="62"/>
  <c r="L17" i="62"/>
  <c r="K17" i="62"/>
  <c r="J17" i="62"/>
  <c r="I17" i="62"/>
  <c r="H17" i="62"/>
  <c r="G17" i="62"/>
  <c r="F17" i="62"/>
  <c r="E17" i="62"/>
  <c r="D17" i="62"/>
  <c r="M16" i="62"/>
  <c r="L16" i="62"/>
  <c r="K16" i="62"/>
  <c r="J16" i="62"/>
  <c r="I16" i="62"/>
  <c r="H16" i="62"/>
  <c r="G16" i="62"/>
  <c r="F16" i="62"/>
  <c r="E16" i="62"/>
  <c r="D16" i="62"/>
  <c r="M13" i="62"/>
  <c r="L13" i="62"/>
  <c r="K13" i="62"/>
  <c r="I6" i="62" s="1"/>
  <c r="J13" i="62"/>
  <c r="I13" i="62"/>
  <c r="H13" i="62"/>
  <c r="F13" i="62"/>
  <c r="E13" i="62"/>
  <c r="D13" i="62"/>
  <c r="M6" i="62"/>
  <c r="F3" i="62"/>
  <c r="C3" i="62"/>
  <c r="N41" i="63" l="1"/>
  <c r="P41" i="63" s="1"/>
  <c r="AF41" i="63"/>
  <c r="AE41" i="63"/>
  <c r="N61" i="63"/>
  <c r="AE61" i="63"/>
  <c r="N17" i="63"/>
  <c r="P17" i="63" s="1"/>
  <c r="AE17" i="63"/>
  <c r="Q29" i="63"/>
  <c r="P29" i="63"/>
  <c r="N15" i="63"/>
  <c r="P15" i="63" s="1"/>
  <c r="AE15" i="63"/>
  <c r="P71" i="63"/>
  <c r="Q71" i="63"/>
  <c r="AF55" i="63"/>
  <c r="AE55" i="63"/>
  <c r="N55" i="63"/>
  <c r="Q55" i="63" s="1"/>
  <c r="AF26" i="63"/>
  <c r="AE26" i="63"/>
  <c r="N26" i="63"/>
  <c r="N42" i="63"/>
  <c r="P42" i="63" s="1"/>
  <c r="AE42" i="63"/>
  <c r="Q46" i="63"/>
  <c r="P46" i="63"/>
  <c r="N39" i="63"/>
  <c r="P39" i="63" s="1"/>
  <c r="AF39" i="63"/>
  <c r="AE39" i="63"/>
  <c r="P6" i="63"/>
  <c r="Q6" i="63"/>
  <c r="Q69" i="63"/>
  <c r="P69" i="63"/>
  <c r="AF23" i="63"/>
  <c r="AE23" i="63"/>
  <c r="N23" i="63"/>
  <c r="AF43" i="63"/>
  <c r="AE43" i="63"/>
  <c r="N43" i="63"/>
  <c r="AF24" i="63"/>
  <c r="AE24" i="63"/>
  <c r="N24" i="63"/>
  <c r="AF72" i="63"/>
  <c r="AE72" i="63"/>
  <c r="N72" i="63"/>
  <c r="N63" i="63"/>
  <c r="AF63" i="63"/>
  <c r="AE63" i="63"/>
  <c r="Z2" i="63"/>
  <c r="L6" i="62" s="1"/>
  <c r="AF33" i="63"/>
  <c r="AE36" i="63"/>
  <c r="AF64" i="63"/>
  <c r="AF6" i="63"/>
  <c r="N25" i="63"/>
  <c r="AF36" i="63"/>
  <c r="AE46" i="63"/>
  <c r="N52" i="63"/>
  <c r="N54" i="63"/>
  <c r="Q54" i="63" s="1"/>
  <c r="AF69" i="63"/>
  <c r="AE31" i="63"/>
  <c r="AF46" i="63"/>
  <c r="AE71" i="63"/>
  <c r="AF29" i="63"/>
  <c r="AE67" i="63"/>
  <c r="N7" i="63"/>
  <c r="Q7" i="63" s="1"/>
  <c r="N10" i="63"/>
  <c r="Q10" i="63" s="1"/>
  <c r="AE54" i="63"/>
  <c r="AF67" i="63"/>
  <c r="N70" i="63"/>
  <c r="N5" i="63"/>
  <c r="M35" i="63"/>
  <c r="AE35" i="63" s="1"/>
  <c r="AE52" i="63"/>
  <c r="AE10" i="63"/>
  <c r="N16" i="63"/>
  <c r="N18" i="63"/>
  <c r="AE25" i="63"/>
  <c r="N28" i="63"/>
  <c r="Q28" i="63" s="1"/>
  <c r="N30" i="63"/>
  <c r="AE7" i="63"/>
  <c r="AE47" i="63"/>
  <c r="AE60" i="63"/>
  <c r="AF47" i="63"/>
  <c r="AE40" i="63"/>
  <c r="AE57" i="63"/>
  <c r="P66" i="63"/>
  <c r="AE70" i="63"/>
  <c r="N11" i="63"/>
  <c r="P11" i="63" s="1"/>
  <c r="N33" i="63"/>
  <c r="Q33" i="63" s="1"/>
  <c r="AE14" i="63"/>
  <c r="M19" i="63"/>
  <c r="AF48" i="63"/>
  <c r="M59" i="63"/>
  <c r="Y2" i="63"/>
  <c r="K6" i="62" s="1"/>
  <c r="AE64" i="63"/>
  <c r="Q61" i="63"/>
  <c r="P61" i="63"/>
  <c r="N59" i="63"/>
  <c r="AF59" i="63"/>
  <c r="AG51" i="63" s="1"/>
  <c r="AE59" i="63"/>
  <c r="Q67" i="63"/>
  <c r="P67" i="63"/>
  <c r="AE9" i="63"/>
  <c r="AF9" i="63"/>
  <c r="AG5" i="63" s="1"/>
  <c r="N9" i="63"/>
  <c r="Q40" i="63"/>
  <c r="P40" i="63"/>
  <c r="P47" i="63"/>
  <c r="Q47" i="63"/>
  <c r="N35" i="63"/>
  <c r="N21" i="63"/>
  <c r="AE21" i="63"/>
  <c r="AF21" i="63"/>
  <c r="P63" i="63"/>
  <c r="Q63" i="63"/>
  <c r="F2" i="63"/>
  <c r="I3" i="62"/>
  <c r="N49" i="63"/>
  <c r="AF49" i="63"/>
  <c r="AE49" i="63"/>
  <c r="P62" i="63"/>
  <c r="Q62" i="63"/>
  <c r="Q48" i="63"/>
  <c r="P48" i="63"/>
  <c r="M27" i="63"/>
  <c r="N20" i="63"/>
  <c r="AE20" i="63"/>
  <c r="AF20" i="63"/>
  <c r="N68" i="63"/>
  <c r="AF68" i="63"/>
  <c r="M73" i="63"/>
  <c r="AE68" i="63"/>
  <c r="N44" i="63"/>
  <c r="AF44" i="63"/>
  <c r="AG36" i="63" s="1"/>
  <c r="AE44" i="63"/>
  <c r="Q14" i="63"/>
  <c r="P14" i="63"/>
  <c r="Q60" i="63"/>
  <c r="P60" i="63"/>
  <c r="N13" i="63"/>
  <c r="AF13" i="63"/>
  <c r="AG10" i="63" s="1"/>
  <c r="AE13" i="63"/>
  <c r="Q45" i="63"/>
  <c r="P45" i="63"/>
  <c r="N22" i="63"/>
  <c r="AF22" i="63"/>
  <c r="AE22" i="63"/>
  <c r="Q42" i="63"/>
  <c r="G6" i="62"/>
  <c r="Q64" i="63"/>
  <c r="P64" i="63"/>
  <c r="Q11" i="63"/>
  <c r="Q36" i="63"/>
  <c r="Q39" i="63"/>
  <c r="Q41" i="63"/>
  <c r="Q57" i="63"/>
  <c r="N38" i="63"/>
  <c r="N56" i="63"/>
  <c r="N58" i="63"/>
  <c r="N8" i="63"/>
  <c r="N34" i="63"/>
  <c r="N37" i="63"/>
  <c r="F18" i="62"/>
  <c r="AF19" i="63"/>
  <c r="AG14" i="63" s="1"/>
  <c r="AE45" i="63"/>
  <c r="M50" i="63"/>
  <c r="P55" i="63"/>
  <c r="N12" i="63"/>
  <c r="P7" i="63"/>
  <c r="P28" i="63"/>
  <c r="P31" i="63"/>
  <c r="P33" i="63"/>
  <c r="AF45" i="63"/>
  <c r="P54" i="63"/>
  <c r="M65" i="63"/>
  <c r="AF14" i="63"/>
  <c r="AF15" i="63"/>
  <c r="AF17" i="63"/>
  <c r="AF42" i="63"/>
  <c r="AF60" i="63"/>
  <c r="AF61" i="63"/>
  <c r="AE8" i="63"/>
  <c r="AF12" i="63"/>
  <c r="AE34" i="63"/>
  <c r="AE37" i="63"/>
  <c r="AF38" i="63"/>
  <c r="AF56" i="63"/>
  <c r="AF58" i="63"/>
  <c r="P10" i="63"/>
  <c r="N32" i="63"/>
  <c r="AF8" i="63"/>
  <c r="AF37" i="63"/>
  <c r="AE12" i="63"/>
  <c r="AE56" i="63"/>
  <c r="E6" i="62"/>
  <c r="F6" i="62"/>
  <c r="AE32" i="63"/>
  <c r="AF32" i="63"/>
  <c r="AD62" i="61"/>
  <c r="Z62" i="61"/>
  <c r="Y62" i="61"/>
  <c r="O62" i="61"/>
  <c r="K62" i="61"/>
  <c r="M13" i="60" s="1"/>
  <c r="V61" i="61"/>
  <c r="M61" i="61" s="1"/>
  <c r="U61" i="61"/>
  <c r="O61" i="61"/>
  <c r="K61" i="61"/>
  <c r="G61" i="61"/>
  <c r="V60" i="61"/>
  <c r="M60" i="61" s="1"/>
  <c r="U60" i="61"/>
  <c r="O60" i="61"/>
  <c r="K60" i="61"/>
  <c r="G60" i="61"/>
  <c r="V59" i="61"/>
  <c r="M59" i="61" s="1"/>
  <c r="N59" i="61" s="1"/>
  <c r="U59" i="61"/>
  <c r="O59" i="61"/>
  <c r="K59" i="61"/>
  <c r="G59" i="61"/>
  <c r="V58" i="61"/>
  <c r="M58" i="61" s="1"/>
  <c r="N58" i="61" s="1"/>
  <c r="U58" i="61"/>
  <c r="O58" i="61"/>
  <c r="K58" i="61"/>
  <c r="G58" i="61"/>
  <c r="X57" i="61"/>
  <c r="W57" i="61"/>
  <c r="V57" i="61"/>
  <c r="M57" i="61" s="1"/>
  <c r="O57" i="61"/>
  <c r="K57" i="61"/>
  <c r="G57" i="61"/>
  <c r="AD56" i="61"/>
  <c r="Z56" i="61"/>
  <c r="Y56" i="61"/>
  <c r="O56" i="61"/>
  <c r="K56" i="61"/>
  <c r="V55" i="61"/>
  <c r="M55" i="61" s="1"/>
  <c r="N55" i="61" s="1"/>
  <c r="U55" i="61"/>
  <c r="O55" i="61"/>
  <c r="K55" i="61"/>
  <c r="G55" i="61"/>
  <c r="V54" i="61"/>
  <c r="M54" i="61" s="1"/>
  <c r="AE54" i="61" s="1"/>
  <c r="U54" i="61"/>
  <c r="O54" i="61"/>
  <c r="K54" i="61"/>
  <c r="G54" i="61"/>
  <c r="V53" i="61"/>
  <c r="M53" i="61" s="1"/>
  <c r="U53" i="61"/>
  <c r="O53" i="61"/>
  <c r="K53" i="61"/>
  <c r="G53" i="61"/>
  <c r="AF52" i="61"/>
  <c r="V52" i="61"/>
  <c r="U52" i="61"/>
  <c r="P52" i="61"/>
  <c r="O52" i="61"/>
  <c r="M52" i="61"/>
  <c r="N52" i="61" s="1"/>
  <c r="Q52" i="61" s="1"/>
  <c r="K52" i="61"/>
  <c r="G52" i="61"/>
  <c r="V51" i="61"/>
  <c r="M51" i="61" s="1"/>
  <c r="O51" i="61"/>
  <c r="K51" i="61"/>
  <c r="G51" i="61"/>
  <c r="AD50" i="61"/>
  <c r="Z50" i="61"/>
  <c r="Y50" i="61"/>
  <c r="I18" i="60" s="1"/>
  <c r="O50" i="61"/>
  <c r="K50" i="61"/>
  <c r="V49" i="61"/>
  <c r="U49" i="61"/>
  <c r="O49" i="61"/>
  <c r="M49" i="61"/>
  <c r="K49" i="61"/>
  <c r="G49" i="61"/>
  <c r="V48" i="61"/>
  <c r="U48" i="61"/>
  <c r="O48" i="61"/>
  <c r="M48" i="61"/>
  <c r="N48" i="61" s="1"/>
  <c r="P48" i="61" s="1"/>
  <c r="K48" i="61"/>
  <c r="G48" i="61"/>
  <c r="V47" i="61"/>
  <c r="M47" i="61" s="1"/>
  <c r="N47" i="61" s="1"/>
  <c r="U47" i="61"/>
  <c r="O47" i="61"/>
  <c r="K47" i="61"/>
  <c r="G47" i="61"/>
  <c r="V46" i="61"/>
  <c r="M46" i="61" s="1"/>
  <c r="U46" i="61"/>
  <c r="O46" i="61"/>
  <c r="K46" i="61"/>
  <c r="G46" i="61"/>
  <c r="V45" i="61"/>
  <c r="M45" i="61" s="1"/>
  <c r="U45" i="61"/>
  <c r="O45" i="61"/>
  <c r="K45" i="61"/>
  <c r="G45" i="61"/>
  <c r="AF44" i="61"/>
  <c r="V44" i="61"/>
  <c r="U44" i="61"/>
  <c r="O44" i="61"/>
  <c r="M44" i="61"/>
  <c r="AE44" i="61" s="1"/>
  <c r="K44" i="61"/>
  <c r="G44" i="61"/>
  <c r="V43" i="61"/>
  <c r="O43" i="61"/>
  <c r="N43" i="61"/>
  <c r="Q43" i="61" s="1"/>
  <c r="M43" i="61"/>
  <c r="AF43" i="61" s="1"/>
  <c r="K43" i="61"/>
  <c r="G43" i="61"/>
  <c r="AD42" i="61"/>
  <c r="H21" i="60" s="1"/>
  <c r="Z42" i="61"/>
  <c r="Y42" i="61"/>
  <c r="H18" i="60" s="1"/>
  <c r="O42" i="61"/>
  <c r="K42" i="61"/>
  <c r="V41" i="61"/>
  <c r="M41" i="61" s="1"/>
  <c r="N41" i="61" s="1"/>
  <c r="U41" i="61"/>
  <c r="O41" i="61"/>
  <c r="K41" i="61"/>
  <c r="G41" i="61"/>
  <c r="V40" i="61"/>
  <c r="M40" i="61" s="1"/>
  <c r="AE40" i="61" s="1"/>
  <c r="U40" i="61"/>
  <c r="O40" i="61"/>
  <c r="K40" i="61"/>
  <c r="G40" i="61"/>
  <c r="V39" i="61"/>
  <c r="M39" i="61" s="1"/>
  <c r="U39" i="61"/>
  <c r="O39" i="61"/>
  <c r="K39" i="61"/>
  <c r="G39" i="61"/>
  <c r="V38" i="61"/>
  <c r="M38" i="61" s="1"/>
  <c r="U38" i="61"/>
  <c r="O38" i="61"/>
  <c r="K38" i="61"/>
  <c r="G38" i="61"/>
  <c r="AE37" i="61"/>
  <c r="X37" i="61"/>
  <c r="W37" i="61"/>
  <c r="V37" i="61"/>
  <c r="M37" i="61" s="1"/>
  <c r="O37" i="61"/>
  <c r="K37" i="61"/>
  <c r="G37" i="61"/>
  <c r="AD36" i="61"/>
  <c r="L21" i="60" s="1"/>
  <c r="Z36" i="61"/>
  <c r="L19" i="60" s="1"/>
  <c r="Y36" i="61"/>
  <c r="O36" i="61"/>
  <c r="K36" i="61"/>
  <c r="V35" i="61"/>
  <c r="M35" i="61" s="1"/>
  <c r="U35" i="61"/>
  <c r="O35" i="61"/>
  <c r="K35" i="61"/>
  <c r="G35" i="61"/>
  <c r="V34" i="61"/>
  <c r="U34" i="61"/>
  <c r="O34" i="61"/>
  <c r="M34" i="61"/>
  <c r="N34" i="61" s="1"/>
  <c r="Q34" i="61" s="1"/>
  <c r="K34" i="61"/>
  <c r="G34" i="61"/>
  <c r="V33" i="61"/>
  <c r="U33" i="61"/>
  <c r="O33" i="61"/>
  <c r="M33" i="61"/>
  <c r="N33" i="61" s="1"/>
  <c r="Q33" i="61" s="1"/>
  <c r="K33" i="61"/>
  <c r="G33" i="61"/>
  <c r="V32" i="61"/>
  <c r="M32" i="61" s="1"/>
  <c r="N32" i="61" s="1"/>
  <c r="U32" i="61"/>
  <c r="O32" i="61"/>
  <c r="K32" i="61"/>
  <c r="G32" i="61"/>
  <c r="X31" i="61"/>
  <c r="W31" i="61"/>
  <c r="V31" i="61"/>
  <c r="O31" i="61"/>
  <c r="M31" i="61"/>
  <c r="AF31" i="61" s="1"/>
  <c r="K31" i="61"/>
  <c r="G31" i="61"/>
  <c r="AD30" i="61"/>
  <c r="Z30" i="61"/>
  <c r="Y30" i="61"/>
  <c r="O30" i="61"/>
  <c r="K30" i="61"/>
  <c r="V29" i="61"/>
  <c r="U29" i="61"/>
  <c r="O29" i="61"/>
  <c r="M29" i="61"/>
  <c r="N29" i="61" s="1"/>
  <c r="K29" i="61"/>
  <c r="G29" i="61"/>
  <c r="V28" i="61"/>
  <c r="U28" i="61"/>
  <c r="O28" i="61"/>
  <c r="M28" i="61"/>
  <c r="N28" i="61" s="1"/>
  <c r="K28" i="61"/>
  <c r="G28" i="61"/>
  <c r="V27" i="61"/>
  <c r="M27" i="61" s="1"/>
  <c r="U27" i="61"/>
  <c r="O27" i="61"/>
  <c r="K27" i="61"/>
  <c r="G27" i="61"/>
  <c r="V26" i="61"/>
  <c r="U26" i="61"/>
  <c r="O26" i="61"/>
  <c r="M26" i="61"/>
  <c r="AE26" i="61" s="1"/>
  <c r="K26" i="61"/>
  <c r="G26" i="61"/>
  <c r="X25" i="61"/>
  <c r="W25" i="61"/>
  <c r="V25" i="61"/>
  <c r="M25" i="61" s="1"/>
  <c r="AF25" i="61" s="1"/>
  <c r="O25" i="61"/>
  <c r="K25" i="61"/>
  <c r="G25" i="61"/>
  <c r="AD24" i="61"/>
  <c r="Z24" i="61"/>
  <c r="G19" i="60" s="1"/>
  <c r="Y24" i="61"/>
  <c r="O24" i="61"/>
  <c r="K24" i="61"/>
  <c r="V23" i="61"/>
  <c r="M23" i="61" s="1"/>
  <c r="U23" i="61"/>
  <c r="O23" i="61"/>
  <c r="K23" i="61"/>
  <c r="G23" i="61"/>
  <c r="V22" i="61"/>
  <c r="M22" i="61" s="1"/>
  <c r="U22" i="61"/>
  <c r="O22" i="61"/>
  <c r="K22" i="61"/>
  <c r="G22" i="61"/>
  <c r="V21" i="61"/>
  <c r="M21" i="61" s="1"/>
  <c r="U21" i="61"/>
  <c r="O21" i="61"/>
  <c r="K21" i="61"/>
  <c r="G21" i="61"/>
  <c r="V20" i="61"/>
  <c r="M20" i="61" s="1"/>
  <c r="N20" i="61" s="1"/>
  <c r="U20" i="61"/>
  <c r="O20" i="61"/>
  <c r="K20" i="61"/>
  <c r="G20" i="61"/>
  <c r="V19" i="61"/>
  <c r="M19" i="61" s="1"/>
  <c r="U19" i="61"/>
  <c r="O19" i="61"/>
  <c r="K19" i="61"/>
  <c r="G19" i="61"/>
  <c r="V18" i="61"/>
  <c r="M18" i="61" s="1"/>
  <c r="O18" i="61"/>
  <c r="K18" i="61"/>
  <c r="G18" i="61"/>
  <c r="AD17" i="61"/>
  <c r="F21" i="60" s="1"/>
  <c r="Z17" i="61"/>
  <c r="Z2" i="61" s="1"/>
  <c r="L6" i="60" s="1"/>
  <c r="Y17" i="61"/>
  <c r="F18" i="60" s="1"/>
  <c r="O17" i="61"/>
  <c r="K17" i="61"/>
  <c r="AE16" i="61"/>
  <c r="V16" i="61"/>
  <c r="M16" i="61" s="1"/>
  <c r="N16" i="61" s="1"/>
  <c r="P16" i="61" s="1"/>
  <c r="U16" i="61"/>
  <c r="O16" i="61"/>
  <c r="K16" i="61"/>
  <c r="G16" i="61"/>
  <c r="V15" i="61"/>
  <c r="M15" i="61" s="1"/>
  <c r="U15" i="61"/>
  <c r="O15" i="61"/>
  <c r="K15" i="61"/>
  <c r="G15" i="61"/>
  <c r="V14" i="61"/>
  <c r="U14" i="61"/>
  <c r="O14" i="61"/>
  <c r="M14" i="61"/>
  <c r="K14" i="61"/>
  <c r="G14" i="61"/>
  <c r="V13" i="61"/>
  <c r="M13" i="61" s="1"/>
  <c r="O13" i="61"/>
  <c r="K13" i="61"/>
  <c r="G13" i="61"/>
  <c r="AD12" i="61"/>
  <c r="Z12" i="61"/>
  <c r="E19" i="60" s="1"/>
  <c r="Y12" i="61"/>
  <c r="E18" i="60" s="1"/>
  <c r="O12" i="61"/>
  <c r="K12" i="61"/>
  <c r="V11" i="61"/>
  <c r="U11" i="61"/>
  <c r="O11" i="61"/>
  <c r="N11" i="61"/>
  <c r="Q11" i="61" s="1"/>
  <c r="M11" i="61"/>
  <c r="K11" i="61"/>
  <c r="G11" i="61"/>
  <c r="V10" i="61"/>
  <c r="O10" i="61"/>
  <c r="M10" i="61"/>
  <c r="N10" i="61" s="1"/>
  <c r="K10" i="61"/>
  <c r="G10" i="61"/>
  <c r="AD9" i="61"/>
  <c r="Z9" i="61"/>
  <c r="Y9" i="61"/>
  <c r="O9" i="61"/>
  <c r="K9" i="61"/>
  <c r="V8" i="61"/>
  <c r="U8" i="61"/>
  <c r="O8" i="61"/>
  <c r="M8" i="61"/>
  <c r="AE8" i="61" s="1"/>
  <c r="K8" i="61"/>
  <c r="G8" i="61"/>
  <c r="V7" i="61"/>
  <c r="M7" i="61" s="1"/>
  <c r="U7" i="61"/>
  <c r="O7" i="61"/>
  <c r="K7" i="61"/>
  <c r="G7" i="61"/>
  <c r="V6" i="61"/>
  <c r="U6" i="61"/>
  <c r="O6" i="61"/>
  <c r="M6" i="61"/>
  <c r="N6" i="61" s="1"/>
  <c r="K6" i="61"/>
  <c r="G6" i="61"/>
  <c r="V5" i="61"/>
  <c r="M5" i="61" s="1"/>
  <c r="O5" i="61"/>
  <c r="K5" i="61"/>
  <c r="G5" i="61"/>
  <c r="Y2" i="61"/>
  <c r="H2" i="61"/>
  <c r="H1" i="61"/>
  <c r="D1" i="61"/>
  <c r="M22" i="60"/>
  <c r="L22" i="60"/>
  <c r="K22" i="60"/>
  <c r="J22" i="60"/>
  <c r="I22" i="60"/>
  <c r="H22" i="60"/>
  <c r="G22" i="60"/>
  <c r="F22" i="60"/>
  <c r="E22" i="60"/>
  <c r="D22" i="60"/>
  <c r="M21" i="60"/>
  <c r="K21" i="60"/>
  <c r="J21" i="60"/>
  <c r="I21" i="60"/>
  <c r="G21" i="60"/>
  <c r="E21" i="60"/>
  <c r="D21" i="60"/>
  <c r="M20" i="60"/>
  <c r="L20" i="60"/>
  <c r="K20" i="60"/>
  <c r="J20" i="60"/>
  <c r="I20" i="60"/>
  <c r="H20" i="60"/>
  <c r="G20" i="60"/>
  <c r="F20" i="60"/>
  <c r="E20" i="60"/>
  <c r="D20" i="60"/>
  <c r="M19" i="60"/>
  <c r="K19" i="60"/>
  <c r="J19" i="60"/>
  <c r="I19" i="60"/>
  <c r="H19" i="60"/>
  <c r="D19" i="60"/>
  <c r="M18" i="60"/>
  <c r="L18" i="60"/>
  <c r="K18" i="60"/>
  <c r="J18" i="60"/>
  <c r="G18" i="60"/>
  <c r="D18" i="60"/>
  <c r="M17" i="60"/>
  <c r="L17" i="60"/>
  <c r="K17" i="60"/>
  <c r="J17" i="60"/>
  <c r="I17" i="60"/>
  <c r="H17" i="60"/>
  <c r="G17" i="60"/>
  <c r="F17" i="60"/>
  <c r="E17" i="60"/>
  <c r="D17" i="60"/>
  <c r="M16" i="60"/>
  <c r="L16" i="60"/>
  <c r="K16" i="60"/>
  <c r="J16" i="60"/>
  <c r="I16" i="60"/>
  <c r="H16" i="60"/>
  <c r="G16" i="60"/>
  <c r="F16" i="60"/>
  <c r="E16" i="60"/>
  <c r="D16" i="60"/>
  <c r="L13" i="60"/>
  <c r="K13" i="60"/>
  <c r="J13" i="60"/>
  <c r="I13" i="60"/>
  <c r="H13" i="60"/>
  <c r="G13" i="60"/>
  <c r="F13" i="60"/>
  <c r="E13" i="60"/>
  <c r="D13" i="60"/>
  <c r="M6" i="60"/>
  <c r="K6" i="60"/>
  <c r="F3" i="60"/>
  <c r="C3" i="60"/>
  <c r="Q28" i="61" l="1"/>
  <c r="P28" i="61"/>
  <c r="N35" i="61"/>
  <c r="Q35" i="61" s="1"/>
  <c r="AF35" i="61"/>
  <c r="AE35" i="61"/>
  <c r="AF61" i="61"/>
  <c r="AE61" i="61"/>
  <c r="N61" i="61"/>
  <c r="AF45" i="61"/>
  <c r="AE45" i="61"/>
  <c r="N45" i="61"/>
  <c r="P32" i="61"/>
  <c r="Q32" i="61"/>
  <c r="N51" i="61"/>
  <c r="AF51" i="61"/>
  <c r="AE51" i="61"/>
  <c r="M56" i="61"/>
  <c r="N56" i="61" s="1"/>
  <c r="Q56" i="61" s="1"/>
  <c r="R51" i="61" s="1"/>
  <c r="AF22" i="61"/>
  <c r="AE22" i="61"/>
  <c r="N22" i="61"/>
  <c r="P22" i="61" s="1"/>
  <c r="AE7" i="61"/>
  <c r="N7" i="61"/>
  <c r="AF7" i="61"/>
  <c r="AF15" i="61"/>
  <c r="AE15" i="61"/>
  <c r="N15" i="61"/>
  <c r="AE23" i="61"/>
  <c r="N23" i="61"/>
  <c r="Q23" i="61" s="1"/>
  <c r="AF23" i="61"/>
  <c r="N60" i="61"/>
  <c r="Q60" i="61" s="1"/>
  <c r="AF60" i="61"/>
  <c r="AE60" i="61"/>
  <c r="N38" i="61"/>
  <c r="Q38" i="61" s="1"/>
  <c r="AF38" i="61"/>
  <c r="AE38" i="61"/>
  <c r="N57" i="61"/>
  <c r="Q57" i="61" s="1"/>
  <c r="AF57" i="61"/>
  <c r="AE57" i="61"/>
  <c r="N5" i="61"/>
  <c r="AF5" i="61"/>
  <c r="AE5" i="61"/>
  <c r="F19" i="60"/>
  <c r="AE43" i="61"/>
  <c r="AF26" i="61"/>
  <c r="Q24" i="63"/>
  <c r="P24" i="63"/>
  <c r="Q26" i="63"/>
  <c r="P26" i="63"/>
  <c r="AE34" i="61"/>
  <c r="Q15" i="63"/>
  <c r="AF34" i="61"/>
  <c r="N8" i="61"/>
  <c r="Q43" i="63"/>
  <c r="P43" i="63"/>
  <c r="N44" i="61"/>
  <c r="Q44" i="61" s="1"/>
  <c r="AE55" i="61"/>
  <c r="P30" i="63"/>
  <c r="Q30" i="63"/>
  <c r="AF55" i="61"/>
  <c r="Q52" i="63"/>
  <c r="P52" i="63"/>
  <c r="AE52" i="61"/>
  <c r="Q23" i="63"/>
  <c r="P23" i="63"/>
  <c r="AF8" i="61"/>
  <c r="AE41" i="61"/>
  <c r="AF35" i="63"/>
  <c r="AG28" i="63" s="1"/>
  <c r="Q18" i="63"/>
  <c r="P18" i="63"/>
  <c r="Q16" i="63"/>
  <c r="P16" i="63"/>
  <c r="P25" i="63"/>
  <c r="Q25" i="63"/>
  <c r="N31" i="61"/>
  <c r="I6" i="60"/>
  <c r="G6" i="60"/>
  <c r="N19" i="63"/>
  <c r="AE19" i="63"/>
  <c r="P5" i="63"/>
  <c r="Q5" i="63"/>
  <c r="Q70" i="63"/>
  <c r="P70" i="63"/>
  <c r="Q16" i="61"/>
  <c r="N26" i="61"/>
  <c r="AE31" i="61"/>
  <c r="Q17" i="63"/>
  <c r="Q72" i="63"/>
  <c r="P72" i="63"/>
  <c r="AF16" i="61"/>
  <c r="Q8" i="63"/>
  <c r="P8" i="63"/>
  <c r="Q56" i="63"/>
  <c r="P56" i="63"/>
  <c r="Q22" i="63"/>
  <c r="P22" i="63"/>
  <c r="Q21" i="63"/>
  <c r="P21" i="63"/>
  <c r="K14" i="62"/>
  <c r="P35" i="63"/>
  <c r="Q35" i="63"/>
  <c r="R28" i="63" s="1"/>
  <c r="Q32" i="63"/>
  <c r="P32" i="63"/>
  <c r="AF73" i="63"/>
  <c r="AG66" i="63" s="1"/>
  <c r="AE73" i="63"/>
  <c r="N73" i="63"/>
  <c r="AF27" i="63"/>
  <c r="AG20" i="63" s="1"/>
  <c r="AE27" i="63"/>
  <c r="N27" i="63"/>
  <c r="D14" i="62"/>
  <c r="Q9" i="63"/>
  <c r="R5" i="63" s="1"/>
  <c r="P9" i="63"/>
  <c r="P12" i="63"/>
  <c r="Q12" i="63"/>
  <c r="E14" i="62"/>
  <c r="E15" i="62" s="1"/>
  <c r="Q13" i="63"/>
  <c r="R10" i="63" s="1"/>
  <c r="P13" i="63"/>
  <c r="Q49" i="63"/>
  <c r="P49" i="63"/>
  <c r="Q37" i="63"/>
  <c r="P37" i="63"/>
  <c r="Q68" i="63"/>
  <c r="P68" i="63"/>
  <c r="Q38" i="63"/>
  <c r="P38" i="63"/>
  <c r="AE50" i="63"/>
  <c r="N50" i="63"/>
  <c r="AF50" i="63"/>
  <c r="AG45" i="63" s="1"/>
  <c r="Q44" i="63"/>
  <c r="R36" i="63" s="1"/>
  <c r="P44" i="63"/>
  <c r="L14" i="62"/>
  <c r="L15" i="62" s="1"/>
  <c r="AF65" i="63"/>
  <c r="AG60" i="63" s="1"/>
  <c r="N65" i="63"/>
  <c r="AE65" i="63"/>
  <c r="Q34" i="63"/>
  <c r="P34" i="63"/>
  <c r="I14" i="62"/>
  <c r="I15" i="62" s="1"/>
  <c r="Q59" i="63"/>
  <c r="R51" i="63" s="1"/>
  <c r="P59" i="63"/>
  <c r="Q58" i="63"/>
  <c r="P58" i="63"/>
  <c r="Q20" i="63"/>
  <c r="P20" i="63"/>
  <c r="Q10" i="61"/>
  <c r="P10" i="61"/>
  <c r="N21" i="61"/>
  <c r="AE21" i="61"/>
  <c r="AF21" i="61"/>
  <c r="Q47" i="61"/>
  <c r="P47" i="61"/>
  <c r="P35" i="61"/>
  <c r="AF58" i="61"/>
  <c r="M17" i="61"/>
  <c r="AF13" i="61"/>
  <c r="AE13" i="61"/>
  <c r="Q20" i="61"/>
  <c r="P20" i="61"/>
  <c r="P34" i="61"/>
  <c r="P38" i="61"/>
  <c r="N39" i="61"/>
  <c r="AE39" i="61"/>
  <c r="P6" i="61"/>
  <c r="Q6" i="61"/>
  <c r="M9" i="61"/>
  <c r="N13" i="61"/>
  <c r="AE20" i="61"/>
  <c r="AF29" i="61"/>
  <c r="AE29" i="61"/>
  <c r="AF33" i="61"/>
  <c r="AE33" i="61"/>
  <c r="AF39" i="61"/>
  <c r="Q41" i="61"/>
  <c r="P41" i="61"/>
  <c r="N54" i="61"/>
  <c r="AF54" i="61"/>
  <c r="M62" i="61"/>
  <c r="F6" i="60"/>
  <c r="P11" i="61"/>
  <c r="N18" i="61"/>
  <c r="AF18" i="61"/>
  <c r="Q48" i="61"/>
  <c r="P23" i="61"/>
  <c r="AE47" i="61"/>
  <c r="AF47" i="61"/>
  <c r="J14" i="60"/>
  <c r="J15" i="60" s="1"/>
  <c r="AD2" i="61"/>
  <c r="N6" i="60" s="1"/>
  <c r="AF20" i="61"/>
  <c r="Q22" i="61"/>
  <c r="P29" i="61"/>
  <c r="Q45" i="61"/>
  <c r="P45" i="61"/>
  <c r="AE58" i="61"/>
  <c r="Q7" i="61"/>
  <c r="P7" i="61"/>
  <c r="AE10" i="61"/>
  <c r="AF10" i="61"/>
  <c r="AE18" i="61"/>
  <c r="AF27" i="61"/>
  <c r="AE27" i="61"/>
  <c r="N27" i="61"/>
  <c r="F1" i="61"/>
  <c r="M12" i="61"/>
  <c r="M30" i="61"/>
  <c r="AE25" i="61"/>
  <c r="AF41" i="61"/>
  <c r="AF49" i="61"/>
  <c r="AE49" i="61"/>
  <c r="P59" i="61"/>
  <c r="Q59" i="61"/>
  <c r="AF14" i="61"/>
  <c r="AE14" i="61"/>
  <c r="Q58" i="61"/>
  <c r="P58" i="61"/>
  <c r="E6" i="60"/>
  <c r="N25" i="61"/>
  <c r="Q26" i="61"/>
  <c r="P26" i="61"/>
  <c r="Q29" i="61"/>
  <c r="P33" i="61"/>
  <c r="N37" i="61"/>
  <c r="AF37" i="61"/>
  <c r="N49" i="61"/>
  <c r="AE56" i="61"/>
  <c r="AE59" i="61"/>
  <c r="N14" i="61"/>
  <c r="P5" i="61"/>
  <c r="Q5" i="61"/>
  <c r="AE6" i="61"/>
  <c r="M24" i="61"/>
  <c r="AE28" i="61"/>
  <c r="AF28" i="61"/>
  <c r="AF32" i="61"/>
  <c r="M36" i="61"/>
  <c r="AE32" i="61"/>
  <c r="M42" i="61"/>
  <c r="AF46" i="61"/>
  <c r="M50" i="61"/>
  <c r="AE46" i="61"/>
  <c r="N46" i="61"/>
  <c r="AF59" i="61"/>
  <c r="AF6" i="61"/>
  <c r="N19" i="61"/>
  <c r="AF19" i="61"/>
  <c r="N53" i="61"/>
  <c r="AE53" i="61"/>
  <c r="Q61" i="61"/>
  <c r="P61" i="61"/>
  <c r="Q8" i="61"/>
  <c r="P8" i="61"/>
  <c r="AE11" i="61"/>
  <c r="AF11" i="61"/>
  <c r="AE19" i="61"/>
  <c r="N40" i="61"/>
  <c r="AF40" i="61"/>
  <c r="AF48" i="61"/>
  <c r="AE48" i="61"/>
  <c r="AF53" i="61"/>
  <c r="Q55" i="61"/>
  <c r="P55" i="61"/>
  <c r="P43" i="61"/>
  <c r="P44" i="61"/>
  <c r="P57" i="61"/>
  <c r="P60" i="61"/>
  <c r="AD62" i="59"/>
  <c r="M21" i="58" s="1"/>
  <c r="Z62" i="59"/>
  <c r="M19" i="58" s="1"/>
  <c r="Y62" i="59"/>
  <c r="O62" i="59"/>
  <c r="K62" i="59"/>
  <c r="M13" i="58" s="1"/>
  <c r="V61" i="59"/>
  <c r="M61" i="59" s="1"/>
  <c r="U61" i="59"/>
  <c r="O61" i="59"/>
  <c r="K61" i="59"/>
  <c r="G61" i="59"/>
  <c r="V60" i="59"/>
  <c r="M60" i="59" s="1"/>
  <c r="N60" i="59" s="1"/>
  <c r="P60" i="59" s="1"/>
  <c r="U60" i="59"/>
  <c r="O60" i="59"/>
  <c r="K60" i="59"/>
  <c r="Q60" i="59" s="1"/>
  <c r="G60" i="59"/>
  <c r="V59" i="59"/>
  <c r="M59" i="59" s="1"/>
  <c r="U59" i="59"/>
  <c r="O59" i="59"/>
  <c r="K59" i="59"/>
  <c r="G59" i="59"/>
  <c r="V58" i="59"/>
  <c r="M58" i="59" s="1"/>
  <c r="U58" i="59"/>
  <c r="O58" i="59"/>
  <c r="K58" i="59"/>
  <c r="G58" i="59"/>
  <c r="X57" i="59"/>
  <c r="W57" i="59"/>
  <c r="V57" i="59"/>
  <c r="O57" i="59"/>
  <c r="M57" i="59"/>
  <c r="AE57" i="59" s="1"/>
  <c r="K57" i="59"/>
  <c r="G57" i="59"/>
  <c r="AD56" i="59"/>
  <c r="Z56" i="59"/>
  <c r="J19" i="58" s="1"/>
  <c r="Y56" i="59"/>
  <c r="J18" i="58" s="1"/>
  <c r="O56" i="59"/>
  <c r="K56" i="59"/>
  <c r="J13" i="58" s="1"/>
  <c r="V55" i="59"/>
  <c r="M55" i="59" s="1"/>
  <c r="U55" i="59"/>
  <c r="O55" i="59"/>
  <c r="K55" i="59"/>
  <c r="G55" i="59"/>
  <c r="V54" i="59"/>
  <c r="M54" i="59" s="1"/>
  <c r="U54" i="59"/>
  <c r="O54" i="59"/>
  <c r="K54" i="59"/>
  <c r="G54" i="59"/>
  <c r="AF53" i="59"/>
  <c r="AE53" i="59"/>
  <c r="V53" i="59"/>
  <c r="M53" i="59" s="1"/>
  <c r="N53" i="59" s="1"/>
  <c r="U53" i="59"/>
  <c r="O53" i="59"/>
  <c r="K53" i="59"/>
  <c r="Q53" i="59" s="1"/>
  <c r="G53" i="59"/>
  <c r="AF52" i="59"/>
  <c r="V52" i="59"/>
  <c r="M52" i="59" s="1"/>
  <c r="U52" i="59"/>
  <c r="O52" i="59"/>
  <c r="K52" i="59"/>
  <c r="G52" i="59"/>
  <c r="V51" i="59"/>
  <c r="M51" i="59" s="1"/>
  <c r="O51" i="59"/>
  <c r="K51" i="59"/>
  <c r="G51" i="59"/>
  <c r="AD50" i="59"/>
  <c r="I21" i="58" s="1"/>
  <c r="Z50" i="59"/>
  <c r="I19" i="58" s="1"/>
  <c r="Y50" i="59"/>
  <c r="O50" i="59"/>
  <c r="K50" i="59"/>
  <c r="V49" i="59"/>
  <c r="M49" i="59" s="1"/>
  <c r="U49" i="59"/>
  <c r="O49" i="59"/>
  <c r="K49" i="59"/>
  <c r="G49" i="59"/>
  <c r="V48" i="59"/>
  <c r="U48" i="59"/>
  <c r="O48" i="59"/>
  <c r="M48" i="59"/>
  <c r="AE48" i="59" s="1"/>
  <c r="K48" i="59"/>
  <c r="G48" i="59"/>
  <c r="V47" i="59"/>
  <c r="M47" i="59" s="1"/>
  <c r="U47" i="59"/>
  <c r="O47" i="59"/>
  <c r="K47" i="59"/>
  <c r="G47" i="59"/>
  <c r="V46" i="59"/>
  <c r="M46" i="59" s="1"/>
  <c r="U46" i="59"/>
  <c r="O46" i="59"/>
  <c r="K46" i="59"/>
  <c r="G46" i="59"/>
  <c r="V45" i="59"/>
  <c r="M45" i="59" s="1"/>
  <c r="U45" i="59"/>
  <c r="O45" i="59"/>
  <c r="K45" i="59"/>
  <c r="G45" i="59"/>
  <c r="V44" i="59"/>
  <c r="M44" i="59" s="1"/>
  <c r="N44" i="59" s="1"/>
  <c r="U44" i="59"/>
  <c r="O44" i="59"/>
  <c r="K44" i="59"/>
  <c r="G44" i="59"/>
  <c r="V43" i="59"/>
  <c r="M43" i="59" s="1"/>
  <c r="O43" i="59"/>
  <c r="K43" i="59"/>
  <c r="G43" i="59"/>
  <c r="AD42" i="59"/>
  <c r="H21" i="58" s="1"/>
  <c r="Z42" i="59"/>
  <c r="H19" i="58" s="1"/>
  <c r="Y42" i="59"/>
  <c r="O42" i="59"/>
  <c r="K42" i="59"/>
  <c r="V41" i="59"/>
  <c r="U41" i="59"/>
  <c r="O41" i="59"/>
  <c r="M41" i="59"/>
  <c r="AF41" i="59" s="1"/>
  <c r="K41" i="59"/>
  <c r="G41" i="59"/>
  <c r="V40" i="59"/>
  <c r="M40" i="59" s="1"/>
  <c r="U40" i="59"/>
  <c r="O40" i="59"/>
  <c r="K40" i="59"/>
  <c r="G40" i="59"/>
  <c r="V39" i="59"/>
  <c r="M39" i="59" s="1"/>
  <c r="U39" i="59"/>
  <c r="O39" i="59"/>
  <c r="K39" i="59"/>
  <c r="G39" i="59"/>
  <c r="V38" i="59"/>
  <c r="M38" i="59" s="1"/>
  <c r="U38" i="59"/>
  <c r="O38" i="59"/>
  <c r="K38" i="59"/>
  <c r="G38" i="59"/>
  <c r="X37" i="59"/>
  <c r="W37" i="59"/>
  <c r="V37" i="59"/>
  <c r="M37" i="59" s="1"/>
  <c r="AE37" i="59" s="1"/>
  <c r="O37" i="59"/>
  <c r="K37" i="59"/>
  <c r="G37" i="59"/>
  <c r="AD36" i="59"/>
  <c r="L21" i="58" s="1"/>
  <c r="Z36" i="59"/>
  <c r="L19" i="58" s="1"/>
  <c r="Y36" i="59"/>
  <c r="O36" i="59"/>
  <c r="K36" i="59"/>
  <c r="AE35" i="59"/>
  <c r="V35" i="59"/>
  <c r="U35" i="59"/>
  <c r="O35" i="59"/>
  <c r="M35" i="59"/>
  <c r="AF35" i="59" s="1"/>
  <c r="K35" i="59"/>
  <c r="G35" i="59"/>
  <c r="V34" i="59"/>
  <c r="M34" i="59" s="1"/>
  <c r="U34" i="59"/>
  <c r="O34" i="59"/>
  <c r="K34" i="59"/>
  <c r="G34" i="59"/>
  <c r="V33" i="59"/>
  <c r="M33" i="59" s="1"/>
  <c r="U33" i="59"/>
  <c r="O33" i="59"/>
  <c r="K33" i="59"/>
  <c r="G33" i="59"/>
  <c r="V32" i="59"/>
  <c r="M32" i="59" s="1"/>
  <c r="U32" i="59"/>
  <c r="O32" i="59"/>
  <c r="K32" i="59"/>
  <c r="G32" i="59"/>
  <c r="X31" i="59"/>
  <c r="W31" i="59"/>
  <c r="V31" i="59"/>
  <c r="M31" i="59" s="1"/>
  <c r="AF31" i="59" s="1"/>
  <c r="O31" i="59"/>
  <c r="K31" i="59"/>
  <c r="G31" i="59"/>
  <c r="AD30" i="59"/>
  <c r="Z30" i="59"/>
  <c r="Y30" i="59"/>
  <c r="O30" i="59"/>
  <c r="K30" i="59"/>
  <c r="V29" i="59"/>
  <c r="U29" i="59"/>
  <c r="O29" i="59"/>
  <c r="M29" i="59"/>
  <c r="K29" i="59"/>
  <c r="G29" i="59"/>
  <c r="V28" i="59"/>
  <c r="U28" i="59"/>
  <c r="O28" i="59"/>
  <c r="M28" i="59"/>
  <c r="AF28" i="59" s="1"/>
  <c r="K28" i="59"/>
  <c r="G28" i="59"/>
  <c r="V27" i="59"/>
  <c r="U27" i="59"/>
  <c r="O27" i="59"/>
  <c r="M27" i="59"/>
  <c r="AF27" i="59" s="1"/>
  <c r="K27" i="59"/>
  <c r="G27" i="59"/>
  <c r="V26" i="59"/>
  <c r="M26" i="59" s="1"/>
  <c r="U26" i="59"/>
  <c r="O26" i="59"/>
  <c r="K26" i="59"/>
  <c r="G26" i="59"/>
  <c r="X25" i="59"/>
  <c r="W25" i="59"/>
  <c r="V25" i="59"/>
  <c r="M25" i="59" s="1"/>
  <c r="O25" i="59"/>
  <c r="K25" i="59"/>
  <c r="G25" i="59"/>
  <c r="AD24" i="59"/>
  <c r="G21" i="58" s="1"/>
  <c r="Z24" i="59"/>
  <c r="G19" i="58" s="1"/>
  <c r="Y24" i="59"/>
  <c r="O24" i="59"/>
  <c r="K24" i="59"/>
  <c r="V23" i="59"/>
  <c r="M23" i="59" s="1"/>
  <c r="U23" i="59"/>
  <c r="O23" i="59"/>
  <c r="K23" i="59"/>
  <c r="G23" i="59"/>
  <c r="V22" i="59"/>
  <c r="M22" i="59" s="1"/>
  <c r="U22" i="59"/>
  <c r="O22" i="59"/>
  <c r="K22" i="59"/>
  <c r="G22" i="59"/>
  <c r="V21" i="59"/>
  <c r="M21" i="59" s="1"/>
  <c r="U21" i="59"/>
  <c r="O21" i="59"/>
  <c r="K21" i="59"/>
  <c r="G21" i="59"/>
  <c r="V20" i="59"/>
  <c r="M20" i="59" s="1"/>
  <c r="AF20" i="59" s="1"/>
  <c r="U20" i="59"/>
  <c r="O20" i="59"/>
  <c r="K20" i="59"/>
  <c r="G20" i="59"/>
  <c r="V19" i="59"/>
  <c r="M19" i="59" s="1"/>
  <c r="U19" i="59"/>
  <c r="O19" i="59"/>
  <c r="K19" i="59"/>
  <c r="G19" i="59"/>
  <c r="V18" i="59"/>
  <c r="M18" i="59" s="1"/>
  <c r="O18" i="59"/>
  <c r="K18" i="59"/>
  <c r="G18" i="59"/>
  <c r="AD17" i="59"/>
  <c r="Z17" i="59"/>
  <c r="Y17" i="59"/>
  <c r="F18" i="58" s="1"/>
  <c r="O17" i="59"/>
  <c r="K17" i="59"/>
  <c r="V16" i="59"/>
  <c r="M16" i="59" s="1"/>
  <c r="U16" i="59"/>
  <c r="O16" i="59"/>
  <c r="K16" i="59"/>
  <c r="G16" i="59"/>
  <c r="V15" i="59"/>
  <c r="M15" i="59" s="1"/>
  <c r="N15" i="59" s="1"/>
  <c r="U15" i="59"/>
  <c r="O15" i="59"/>
  <c r="K15" i="59"/>
  <c r="G15" i="59"/>
  <c r="V14" i="59"/>
  <c r="M14" i="59" s="1"/>
  <c r="U14" i="59"/>
  <c r="O14" i="59"/>
  <c r="K14" i="59"/>
  <c r="G14" i="59"/>
  <c r="V13" i="59"/>
  <c r="M13" i="59" s="1"/>
  <c r="O13" i="59"/>
  <c r="K13" i="59"/>
  <c r="G13" i="59"/>
  <c r="AD12" i="59"/>
  <c r="Z12" i="59"/>
  <c r="Y12" i="59"/>
  <c r="E18" i="58" s="1"/>
  <c r="O12" i="59"/>
  <c r="K12" i="59"/>
  <c r="V11" i="59"/>
  <c r="M11" i="59" s="1"/>
  <c r="U11" i="59"/>
  <c r="O11" i="59"/>
  <c r="K11" i="59"/>
  <c r="G11" i="59"/>
  <c r="V10" i="59"/>
  <c r="M10" i="59" s="1"/>
  <c r="O10" i="59"/>
  <c r="K10" i="59"/>
  <c r="G10" i="59"/>
  <c r="AD9" i="59"/>
  <c r="Z9" i="59"/>
  <c r="D19" i="58" s="1"/>
  <c r="Y9" i="59"/>
  <c r="D18" i="58" s="1"/>
  <c r="O9" i="59"/>
  <c r="K9" i="59"/>
  <c r="V8" i="59"/>
  <c r="U8" i="59"/>
  <c r="O8" i="59"/>
  <c r="M8" i="59"/>
  <c r="AF8" i="59" s="1"/>
  <c r="K8" i="59"/>
  <c r="G8" i="59"/>
  <c r="AE7" i="59"/>
  <c r="V7" i="59"/>
  <c r="M7" i="59" s="1"/>
  <c r="N7" i="59" s="1"/>
  <c r="U7" i="59"/>
  <c r="O7" i="59"/>
  <c r="K7" i="59"/>
  <c r="Q7" i="59" s="1"/>
  <c r="G7" i="59"/>
  <c r="V6" i="59"/>
  <c r="M6" i="59" s="1"/>
  <c r="U6" i="59"/>
  <c r="O6" i="59"/>
  <c r="K6" i="59"/>
  <c r="G6" i="59"/>
  <c r="AF5" i="59"/>
  <c r="V5" i="59"/>
  <c r="O5" i="59"/>
  <c r="N5" i="59"/>
  <c r="M5" i="59"/>
  <c r="AE5" i="59" s="1"/>
  <c r="K5" i="59"/>
  <c r="G5" i="59"/>
  <c r="H2" i="59"/>
  <c r="H1" i="59"/>
  <c r="D1" i="59"/>
  <c r="M22" i="58"/>
  <c r="L22" i="58"/>
  <c r="K22" i="58"/>
  <c r="J22" i="58"/>
  <c r="I22" i="58"/>
  <c r="H22" i="58"/>
  <c r="G22" i="58"/>
  <c r="F22" i="58"/>
  <c r="E22" i="58"/>
  <c r="D22" i="58"/>
  <c r="K21" i="58"/>
  <c r="J21" i="58"/>
  <c r="F21" i="58"/>
  <c r="E21" i="58"/>
  <c r="D21" i="58"/>
  <c r="M20" i="58"/>
  <c r="L20" i="58"/>
  <c r="K20" i="58"/>
  <c r="J20" i="58"/>
  <c r="I20" i="58"/>
  <c r="H20" i="58"/>
  <c r="G20" i="58"/>
  <c r="F20" i="58"/>
  <c r="E20" i="58"/>
  <c r="D20" i="58"/>
  <c r="K19" i="58"/>
  <c r="F19" i="58"/>
  <c r="E19" i="58"/>
  <c r="M18" i="58"/>
  <c r="L18" i="58"/>
  <c r="K18" i="58"/>
  <c r="I18" i="58"/>
  <c r="H18" i="58"/>
  <c r="G18" i="58"/>
  <c r="M17" i="58"/>
  <c r="L17" i="58"/>
  <c r="K17" i="58"/>
  <c r="J17" i="58"/>
  <c r="I17" i="58"/>
  <c r="H17" i="58"/>
  <c r="G17" i="58"/>
  <c r="F17" i="58"/>
  <c r="E17" i="58"/>
  <c r="D17" i="58"/>
  <c r="M16" i="58"/>
  <c r="L16" i="58"/>
  <c r="K16" i="58"/>
  <c r="J16" i="58"/>
  <c r="I16" i="58"/>
  <c r="H16" i="58"/>
  <c r="G16" i="58"/>
  <c r="F16" i="58"/>
  <c r="E16" i="58"/>
  <c r="D16" i="58"/>
  <c r="L13" i="58"/>
  <c r="K13" i="58"/>
  <c r="I6" i="58" s="1"/>
  <c r="I13" i="58"/>
  <c r="H13" i="58"/>
  <c r="G13" i="58"/>
  <c r="F13" i="58"/>
  <c r="E13" i="58"/>
  <c r="D13" i="58"/>
  <c r="M6" i="58"/>
  <c r="F3" i="58"/>
  <c r="C3" i="58"/>
  <c r="AF21" i="59" l="1"/>
  <c r="AE21" i="59"/>
  <c r="AE18" i="59"/>
  <c r="N18" i="59"/>
  <c r="AF18" i="59"/>
  <c r="N45" i="59"/>
  <c r="AF45" i="59"/>
  <c r="AE45" i="59"/>
  <c r="AE39" i="59"/>
  <c r="AF39" i="59"/>
  <c r="N23" i="59"/>
  <c r="AF23" i="59"/>
  <c r="AF51" i="59"/>
  <c r="AE51" i="59"/>
  <c r="N51" i="59"/>
  <c r="N32" i="59"/>
  <c r="Q32" i="59" s="1"/>
  <c r="AF32" i="59"/>
  <c r="AE32" i="59"/>
  <c r="AE44" i="59"/>
  <c r="N57" i="59"/>
  <c r="Q57" i="59" s="1"/>
  <c r="AF44" i="59"/>
  <c r="AE31" i="59"/>
  <c r="Q19" i="63"/>
  <c r="R14" i="63" s="1"/>
  <c r="P19" i="63"/>
  <c r="F14" i="62"/>
  <c r="F15" i="62" s="1"/>
  <c r="M30" i="59"/>
  <c r="N30" i="59" s="1"/>
  <c r="AE28" i="59"/>
  <c r="Y2" i="59"/>
  <c r="K6" i="58" s="1"/>
  <c r="AF7" i="59"/>
  <c r="AE15" i="59"/>
  <c r="N35" i="59"/>
  <c r="N48" i="59"/>
  <c r="Q31" i="61"/>
  <c r="P31" i="61"/>
  <c r="Q51" i="61"/>
  <c r="P51" i="61"/>
  <c r="AF48" i="59"/>
  <c r="P56" i="61"/>
  <c r="F1" i="59"/>
  <c r="D2" i="63"/>
  <c r="P15" i="61"/>
  <c r="Q15" i="61"/>
  <c r="Q44" i="59"/>
  <c r="AF56" i="61"/>
  <c r="AG51" i="61" s="1"/>
  <c r="N31" i="59"/>
  <c r="Q31" i="59" s="1"/>
  <c r="K15" i="62"/>
  <c r="I7" i="62"/>
  <c r="D15" i="62"/>
  <c r="G14" i="62"/>
  <c r="G15" i="62" s="1"/>
  <c r="Q27" i="63"/>
  <c r="R20" i="63" s="1"/>
  <c r="P27" i="63"/>
  <c r="Q65" i="63"/>
  <c r="R60" i="63" s="1"/>
  <c r="P65" i="63"/>
  <c r="J14" i="62"/>
  <c r="J15" i="62" s="1"/>
  <c r="M14" i="62"/>
  <c r="M15" i="62" s="1"/>
  <c r="Q73" i="63"/>
  <c r="R66" i="63" s="1"/>
  <c r="P73" i="63"/>
  <c r="P50" i="63"/>
  <c r="Q50" i="63"/>
  <c r="R45" i="63" s="1"/>
  <c r="H14" i="62"/>
  <c r="H15" i="62" s="1"/>
  <c r="F2" i="61"/>
  <c r="I3" i="60"/>
  <c r="P27" i="61"/>
  <c r="Q27" i="61"/>
  <c r="N42" i="61"/>
  <c r="AF42" i="61"/>
  <c r="AG37" i="61" s="1"/>
  <c r="AE42" i="61"/>
  <c r="P18" i="61"/>
  <c r="Q18" i="61"/>
  <c r="Q49" i="61"/>
  <c r="P49" i="61"/>
  <c r="Q53" i="61"/>
  <c r="P53" i="61"/>
  <c r="N36" i="61"/>
  <c r="AE36" i="61"/>
  <c r="AF36" i="61"/>
  <c r="AG31" i="61" s="1"/>
  <c r="Q13" i="61"/>
  <c r="P13" i="61"/>
  <c r="P37" i="61"/>
  <c r="Q37" i="61"/>
  <c r="AF62" i="61"/>
  <c r="AG57" i="61" s="1"/>
  <c r="AE62" i="61"/>
  <c r="N62" i="61"/>
  <c r="AF9" i="61"/>
  <c r="AG5" i="61" s="1"/>
  <c r="AE9" i="61"/>
  <c r="N9" i="61"/>
  <c r="P40" i="61"/>
  <c r="Q40" i="61"/>
  <c r="P54" i="61"/>
  <c r="Q54" i="61"/>
  <c r="N50" i="61"/>
  <c r="AE50" i="61"/>
  <c r="AF50" i="61"/>
  <c r="AG43" i="61" s="1"/>
  <c r="Q14" i="61"/>
  <c r="P14" i="61"/>
  <c r="N17" i="61"/>
  <c r="AE17" i="61"/>
  <c r="AF17" i="61"/>
  <c r="AG13" i="61" s="1"/>
  <c r="P19" i="61"/>
  <c r="Q19" i="61"/>
  <c r="AF24" i="61"/>
  <c r="AG18" i="61" s="1"/>
  <c r="AE24" i="61"/>
  <c r="N24" i="61"/>
  <c r="P39" i="61"/>
  <c r="Q39" i="61"/>
  <c r="P46" i="61"/>
  <c r="Q46" i="61"/>
  <c r="Q25" i="61"/>
  <c r="P25" i="61"/>
  <c r="AF30" i="61"/>
  <c r="AG25" i="61" s="1"/>
  <c r="AE30" i="61"/>
  <c r="N30" i="61"/>
  <c r="AF12" i="61"/>
  <c r="AG10" i="61" s="1"/>
  <c r="AE12" i="61"/>
  <c r="N12" i="61"/>
  <c r="P21" i="61"/>
  <c r="Q21" i="61"/>
  <c r="G6" i="58"/>
  <c r="N14" i="59"/>
  <c r="AF14" i="59"/>
  <c r="AE14" i="59"/>
  <c r="AF10" i="59"/>
  <c r="AE10" i="59"/>
  <c r="N10" i="59"/>
  <c r="M12" i="59"/>
  <c r="F2" i="59"/>
  <c r="I3" i="58"/>
  <c r="Q15" i="59"/>
  <c r="P15" i="59"/>
  <c r="AE13" i="59"/>
  <c r="AF13" i="59"/>
  <c r="M17" i="59"/>
  <c r="N13" i="59"/>
  <c r="AF34" i="59"/>
  <c r="AE34" i="59"/>
  <c r="N34" i="59"/>
  <c r="AE30" i="59"/>
  <c r="AF11" i="59"/>
  <c r="AE11" i="59"/>
  <c r="N11" i="59"/>
  <c r="P45" i="59"/>
  <c r="Q45" i="59"/>
  <c r="AF38" i="59"/>
  <c r="AE38" i="59"/>
  <c r="N38" i="59"/>
  <c r="AF54" i="59"/>
  <c r="AE54" i="59"/>
  <c r="N54" i="59"/>
  <c r="M56" i="59"/>
  <c r="AF61" i="59"/>
  <c r="AE61" i="59"/>
  <c r="N61" i="59"/>
  <c r="N58" i="59"/>
  <c r="AF58" i="59"/>
  <c r="AE58" i="59"/>
  <c r="N8" i="59"/>
  <c r="N20" i="59"/>
  <c r="N27" i="59"/>
  <c r="N41" i="59"/>
  <c r="AF55" i="59"/>
  <c r="AE55" i="59"/>
  <c r="N55" i="59"/>
  <c r="AE60" i="59"/>
  <c r="AF15" i="59"/>
  <c r="N39" i="59"/>
  <c r="AF60" i="59"/>
  <c r="P53" i="59"/>
  <c r="AE8" i="59"/>
  <c r="AE20" i="59"/>
  <c r="Q23" i="59"/>
  <c r="P23" i="59"/>
  <c r="AE27" i="59"/>
  <c r="AE41" i="59"/>
  <c r="Q51" i="59"/>
  <c r="P51" i="59"/>
  <c r="AE25" i="59"/>
  <c r="N25" i="59"/>
  <c r="AF37" i="59"/>
  <c r="N37" i="59"/>
  <c r="M42" i="59"/>
  <c r="AF46" i="59"/>
  <c r="AE46" i="59"/>
  <c r="N46" i="59"/>
  <c r="N6" i="59"/>
  <c r="AE6" i="59"/>
  <c r="AF6" i="59"/>
  <c r="N21" i="59"/>
  <c r="AE23" i="59"/>
  <c r="AF25" i="59"/>
  <c r="N28" i="59"/>
  <c r="P44" i="59"/>
  <c r="M62" i="59"/>
  <c r="AF57" i="59"/>
  <c r="AF16" i="59"/>
  <c r="N16" i="59"/>
  <c r="Q35" i="59"/>
  <c r="P35" i="59"/>
  <c r="AF47" i="59"/>
  <c r="AE47" i="59"/>
  <c r="N47" i="59"/>
  <c r="AE16" i="59"/>
  <c r="E6" i="58"/>
  <c r="Z2" i="59"/>
  <c r="L6" i="58" s="1"/>
  <c r="AF49" i="59"/>
  <c r="AE49" i="59"/>
  <c r="N49" i="59"/>
  <c r="F6" i="58"/>
  <c r="AD2" i="59"/>
  <c r="N6" i="58" s="1"/>
  <c r="M50" i="59"/>
  <c r="P57" i="59"/>
  <c r="N59" i="59"/>
  <c r="AE59" i="59"/>
  <c r="M9" i="59"/>
  <c r="P7" i="59"/>
  <c r="AF59" i="59"/>
  <c r="Q5" i="59"/>
  <c r="P5" i="59"/>
  <c r="AF19" i="59"/>
  <c r="AE19" i="59"/>
  <c r="N19" i="59"/>
  <c r="N22" i="59"/>
  <c r="AF22" i="59"/>
  <c r="AE22" i="59"/>
  <c r="AF26" i="59"/>
  <c r="AE26" i="59"/>
  <c r="N26" i="59"/>
  <c r="N29" i="59"/>
  <c r="AF29" i="59"/>
  <c r="AE29" i="59"/>
  <c r="M36" i="59"/>
  <c r="AF40" i="59"/>
  <c r="AE40" i="59"/>
  <c r="N40" i="59"/>
  <c r="N43" i="59"/>
  <c r="AF43" i="59"/>
  <c r="AE43" i="59"/>
  <c r="N52" i="59"/>
  <c r="AE52" i="59"/>
  <c r="AF33" i="59"/>
  <c r="AE33" i="59"/>
  <c r="N33" i="59"/>
  <c r="M24" i="59"/>
  <c r="AD64" i="57"/>
  <c r="AC64" i="57"/>
  <c r="Z64" i="57"/>
  <c r="Y64" i="57"/>
  <c r="O64" i="57"/>
  <c r="K64" i="57"/>
  <c r="V63" i="57"/>
  <c r="M63" i="57" s="1"/>
  <c r="AF63" i="57" s="1"/>
  <c r="U63" i="57"/>
  <c r="O63" i="57"/>
  <c r="K63" i="57"/>
  <c r="G63" i="57"/>
  <c r="V62" i="57"/>
  <c r="M62" i="57" s="1"/>
  <c r="U62" i="57"/>
  <c r="O62" i="57"/>
  <c r="K62" i="57"/>
  <c r="G62" i="57"/>
  <c r="V61" i="57"/>
  <c r="M61" i="57" s="1"/>
  <c r="U61" i="57"/>
  <c r="O61" i="57"/>
  <c r="K61" i="57"/>
  <c r="G61" i="57"/>
  <c r="V60" i="57"/>
  <c r="M60" i="57" s="1"/>
  <c r="U60" i="57"/>
  <c r="O60" i="57"/>
  <c r="K60" i="57"/>
  <c r="G60" i="57"/>
  <c r="X59" i="57"/>
  <c r="W59" i="57"/>
  <c r="V59" i="57"/>
  <c r="M59" i="57" s="1"/>
  <c r="O59" i="57"/>
  <c r="K59" i="57"/>
  <c r="G59" i="57"/>
  <c r="AD58" i="57"/>
  <c r="AC58" i="57"/>
  <c r="Z58" i="57"/>
  <c r="Y58" i="57"/>
  <c r="O58" i="57"/>
  <c r="K58" i="57"/>
  <c r="V57" i="57"/>
  <c r="M57" i="57" s="1"/>
  <c r="U57" i="57"/>
  <c r="O57" i="57"/>
  <c r="K57" i="57"/>
  <c r="G57" i="57"/>
  <c r="V56" i="57"/>
  <c r="M56" i="57" s="1"/>
  <c r="U56" i="57"/>
  <c r="O56" i="57"/>
  <c r="K56" i="57"/>
  <c r="G56" i="57"/>
  <c r="V55" i="57"/>
  <c r="M55" i="57" s="1"/>
  <c r="U55" i="57"/>
  <c r="O55" i="57"/>
  <c r="K55" i="57"/>
  <c r="G55" i="57"/>
  <c r="V54" i="57"/>
  <c r="M54" i="57" s="1"/>
  <c r="U54" i="57"/>
  <c r="O54" i="57"/>
  <c r="K54" i="57"/>
  <c r="G54" i="57"/>
  <c r="V53" i="57"/>
  <c r="M53" i="57" s="1"/>
  <c r="O53" i="57"/>
  <c r="K53" i="57"/>
  <c r="G53" i="57"/>
  <c r="AD52" i="57"/>
  <c r="AC52" i="57"/>
  <c r="Z52" i="57"/>
  <c r="Y52" i="57"/>
  <c r="I18" i="56" s="1"/>
  <c r="O52" i="57"/>
  <c r="K52" i="57"/>
  <c r="V51" i="57"/>
  <c r="M51" i="57" s="1"/>
  <c r="U51" i="57"/>
  <c r="O51" i="57"/>
  <c r="K51" i="57"/>
  <c r="G51" i="57"/>
  <c r="V50" i="57"/>
  <c r="M50" i="57" s="1"/>
  <c r="U50" i="57"/>
  <c r="O50" i="57"/>
  <c r="K50" i="57"/>
  <c r="G50" i="57"/>
  <c r="V49" i="57"/>
  <c r="M49" i="57" s="1"/>
  <c r="U49" i="57"/>
  <c r="O49" i="57"/>
  <c r="K49" i="57"/>
  <c r="G49" i="57"/>
  <c r="V48" i="57"/>
  <c r="U48" i="57"/>
  <c r="O48" i="57"/>
  <c r="M48" i="57"/>
  <c r="AF48" i="57" s="1"/>
  <c r="K48" i="57"/>
  <c r="G48" i="57"/>
  <c r="V47" i="57"/>
  <c r="M47" i="57" s="1"/>
  <c r="AF47" i="57" s="1"/>
  <c r="U47" i="57"/>
  <c r="O47" i="57"/>
  <c r="K47" i="57"/>
  <c r="G47" i="57"/>
  <c r="V46" i="57"/>
  <c r="U46" i="57"/>
  <c r="O46" i="57"/>
  <c r="M46" i="57"/>
  <c r="AF46" i="57" s="1"/>
  <c r="K46" i="57"/>
  <c r="G46" i="57"/>
  <c r="V45" i="57"/>
  <c r="M45" i="57" s="1"/>
  <c r="O45" i="57"/>
  <c r="K45" i="57"/>
  <c r="G45" i="57"/>
  <c r="AD44" i="57"/>
  <c r="AC44" i="57"/>
  <c r="H20" i="56" s="1"/>
  <c r="Z44" i="57"/>
  <c r="Y44" i="57"/>
  <c r="O44" i="57"/>
  <c r="K44" i="57"/>
  <c r="V43" i="57"/>
  <c r="M43" i="57" s="1"/>
  <c r="AF43" i="57" s="1"/>
  <c r="U43" i="57"/>
  <c r="O43" i="57"/>
  <c r="K43" i="57"/>
  <c r="G43" i="57"/>
  <c r="V42" i="57"/>
  <c r="M42" i="57" s="1"/>
  <c r="U42" i="57"/>
  <c r="O42" i="57"/>
  <c r="K42" i="57"/>
  <c r="G42" i="57"/>
  <c r="V41" i="57"/>
  <c r="M41" i="57" s="1"/>
  <c r="U41" i="57"/>
  <c r="O41" i="57"/>
  <c r="K41" i="57"/>
  <c r="G41" i="57"/>
  <c r="V40" i="57"/>
  <c r="M40" i="57" s="1"/>
  <c r="U40" i="57"/>
  <c r="O40" i="57"/>
  <c r="K40" i="57"/>
  <c r="G40" i="57"/>
  <c r="X39" i="57"/>
  <c r="W39" i="57"/>
  <c r="V39" i="57"/>
  <c r="M39" i="57" s="1"/>
  <c r="O39" i="57"/>
  <c r="K39" i="57"/>
  <c r="G39" i="57"/>
  <c r="AD38" i="57"/>
  <c r="L21" i="56" s="1"/>
  <c r="AC38" i="57"/>
  <c r="Z38" i="57"/>
  <c r="Y38" i="57"/>
  <c r="O38" i="57"/>
  <c r="K38" i="57"/>
  <c r="V37" i="57"/>
  <c r="M37" i="57" s="1"/>
  <c r="U37" i="57"/>
  <c r="O37" i="57"/>
  <c r="K37" i="57"/>
  <c r="G37" i="57"/>
  <c r="AE36" i="57"/>
  <c r="X36" i="57"/>
  <c r="W36" i="57"/>
  <c r="V36" i="57"/>
  <c r="U36" i="57"/>
  <c r="O36" i="57"/>
  <c r="N36" i="57"/>
  <c r="Q36" i="57" s="1"/>
  <c r="M36" i="57"/>
  <c r="AF36" i="57" s="1"/>
  <c r="K36" i="57"/>
  <c r="G36" i="57"/>
  <c r="AE35" i="57"/>
  <c r="V35" i="57"/>
  <c r="U35" i="57"/>
  <c r="O35" i="57"/>
  <c r="M35" i="57"/>
  <c r="N35" i="57" s="1"/>
  <c r="K35" i="57"/>
  <c r="G35" i="57"/>
  <c r="V34" i="57"/>
  <c r="M34" i="57" s="1"/>
  <c r="U34" i="57"/>
  <c r="O34" i="57"/>
  <c r="K34" i="57"/>
  <c r="G34" i="57"/>
  <c r="V33" i="57"/>
  <c r="M33" i="57" s="1"/>
  <c r="U33" i="57"/>
  <c r="O33" i="57"/>
  <c r="K33" i="57"/>
  <c r="G33" i="57"/>
  <c r="X32" i="57"/>
  <c r="W32" i="57"/>
  <c r="V32" i="57"/>
  <c r="M32" i="57" s="1"/>
  <c r="O32" i="57"/>
  <c r="K32" i="57"/>
  <c r="G32" i="57"/>
  <c r="AD31" i="57"/>
  <c r="K21" i="56" s="1"/>
  <c r="AC31" i="57"/>
  <c r="Z31" i="57"/>
  <c r="Y31" i="57"/>
  <c r="O31" i="57"/>
  <c r="K31" i="57"/>
  <c r="V30" i="57"/>
  <c r="M30" i="57" s="1"/>
  <c r="U30" i="57"/>
  <c r="O30" i="57"/>
  <c r="K30" i="57"/>
  <c r="G30" i="57"/>
  <c r="V29" i="57"/>
  <c r="M29" i="57" s="1"/>
  <c r="U29" i="57"/>
  <c r="O29" i="57"/>
  <c r="K29" i="57"/>
  <c r="G29" i="57"/>
  <c r="V28" i="57"/>
  <c r="M28" i="57" s="1"/>
  <c r="U28" i="57"/>
  <c r="O28" i="57"/>
  <c r="K28" i="57"/>
  <c r="G28" i="57"/>
  <c r="V27" i="57"/>
  <c r="M27" i="57" s="1"/>
  <c r="U27" i="57"/>
  <c r="O27" i="57"/>
  <c r="K27" i="57"/>
  <c r="G27" i="57"/>
  <c r="X26" i="57"/>
  <c r="W26" i="57"/>
  <c r="V26" i="57"/>
  <c r="M26" i="57" s="1"/>
  <c r="O26" i="57"/>
  <c r="K26" i="57"/>
  <c r="G26" i="57"/>
  <c r="AD25" i="57"/>
  <c r="AC25" i="57"/>
  <c r="Z25" i="57"/>
  <c r="G19" i="56" s="1"/>
  <c r="Y25" i="57"/>
  <c r="G18" i="56" s="1"/>
  <c r="O25" i="57"/>
  <c r="K25" i="57"/>
  <c r="V24" i="57"/>
  <c r="M24" i="57" s="1"/>
  <c r="U24" i="57"/>
  <c r="O24" i="57"/>
  <c r="K24" i="57"/>
  <c r="G24" i="57"/>
  <c r="V23" i="57"/>
  <c r="M23" i="57" s="1"/>
  <c r="U23" i="57"/>
  <c r="O23" i="57"/>
  <c r="K23" i="57"/>
  <c r="G23" i="57"/>
  <c r="V22" i="57"/>
  <c r="M22" i="57" s="1"/>
  <c r="U22" i="57"/>
  <c r="O22" i="57"/>
  <c r="K22" i="57"/>
  <c r="G22" i="57"/>
  <c r="V21" i="57"/>
  <c r="M21" i="57" s="1"/>
  <c r="U21" i="57"/>
  <c r="O21" i="57"/>
  <c r="K21" i="57"/>
  <c r="G21" i="57"/>
  <c r="V20" i="57"/>
  <c r="M20" i="57" s="1"/>
  <c r="AF20" i="57" s="1"/>
  <c r="U20" i="57"/>
  <c r="O20" i="57"/>
  <c r="K20" i="57"/>
  <c r="G20" i="57"/>
  <c r="V19" i="57"/>
  <c r="M19" i="57" s="1"/>
  <c r="AF19" i="57" s="1"/>
  <c r="O19" i="57"/>
  <c r="K19" i="57"/>
  <c r="G19" i="57"/>
  <c r="AD18" i="57"/>
  <c r="F21" i="56" s="1"/>
  <c r="AC18" i="57"/>
  <c r="F20" i="56" s="1"/>
  <c r="Z18" i="57"/>
  <c r="Y18" i="57"/>
  <c r="O18" i="57"/>
  <c r="K18" i="57"/>
  <c r="V17" i="57"/>
  <c r="M17" i="57" s="1"/>
  <c r="AF17" i="57" s="1"/>
  <c r="U17" i="57"/>
  <c r="O17" i="57"/>
  <c r="K17" i="57"/>
  <c r="G17" i="57"/>
  <c r="V16" i="57"/>
  <c r="U16" i="57"/>
  <c r="O16" i="57"/>
  <c r="N16" i="57"/>
  <c r="Q16" i="57" s="1"/>
  <c r="M16" i="57"/>
  <c r="AF16" i="57" s="1"/>
  <c r="K16" i="57"/>
  <c r="G16" i="57"/>
  <c r="V15" i="57"/>
  <c r="U15" i="57"/>
  <c r="O15" i="57"/>
  <c r="M15" i="57"/>
  <c r="AF15" i="57" s="1"/>
  <c r="K15" i="57"/>
  <c r="G15" i="57"/>
  <c r="V14" i="57"/>
  <c r="O14" i="57"/>
  <c r="M14" i="57"/>
  <c r="K14" i="57"/>
  <c r="G14" i="57"/>
  <c r="AD13" i="57"/>
  <c r="AC13" i="57"/>
  <c r="AC2" i="57" s="1"/>
  <c r="M6" i="56" s="1"/>
  <c r="Z13" i="57"/>
  <c r="Y13" i="57"/>
  <c r="O13" i="57"/>
  <c r="K13" i="57"/>
  <c r="V12" i="57"/>
  <c r="U12" i="57"/>
  <c r="O12" i="57"/>
  <c r="N12" i="57"/>
  <c r="Q12" i="57" s="1"/>
  <c r="M12" i="57"/>
  <c r="AE12" i="57" s="1"/>
  <c r="K12" i="57"/>
  <c r="G12" i="57"/>
  <c r="X11" i="57"/>
  <c r="W11" i="57"/>
  <c r="V11" i="57"/>
  <c r="M11" i="57" s="1"/>
  <c r="U11" i="57"/>
  <c r="O11" i="57"/>
  <c r="K11" i="57"/>
  <c r="G11" i="57"/>
  <c r="V10" i="57"/>
  <c r="O10" i="57"/>
  <c r="M10" i="57"/>
  <c r="AF10" i="57" s="1"/>
  <c r="K10" i="57"/>
  <c r="G10" i="57"/>
  <c r="AD9" i="57"/>
  <c r="AC9" i="57"/>
  <c r="Z9" i="57"/>
  <c r="Z2" i="57" s="1"/>
  <c r="L6" i="56" s="1"/>
  <c r="Y9" i="57"/>
  <c r="D18" i="56" s="1"/>
  <c r="O9" i="57"/>
  <c r="K9" i="57"/>
  <c r="V8" i="57"/>
  <c r="M8" i="57" s="1"/>
  <c r="U8" i="57"/>
  <c r="O8" i="57"/>
  <c r="K8" i="57"/>
  <c r="G8" i="57"/>
  <c r="V7" i="57"/>
  <c r="M7" i="57" s="1"/>
  <c r="U7" i="57"/>
  <c r="O7" i="57"/>
  <c r="K7" i="57"/>
  <c r="G7" i="57"/>
  <c r="V6" i="57"/>
  <c r="M6" i="57" s="1"/>
  <c r="U6" i="57"/>
  <c r="O6" i="57"/>
  <c r="K6" i="57"/>
  <c r="G6" i="57"/>
  <c r="V5" i="57"/>
  <c r="M5" i="57" s="1"/>
  <c r="O5" i="57"/>
  <c r="K5" i="57"/>
  <c r="G5" i="57"/>
  <c r="H2" i="57"/>
  <c r="H1" i="57"/>
  <c r="D1" i="57"/>
  <c r="M22" i="56"/>
  <c r="L22" i="56"/>
  <c r="K22" i="56"/>
  <c r="J22" i="56"/>
  <c r="I22" i="56"/>
  <c r="H22" i="56"/>
  <c r="G22" i="56"/>
  <c r="F22" i="56"/>
  <c r="E22" i="56"/>
  <c r="D22" i="56"/>
  <c r="M21" i="56"/>
  <c r="J21" i="56"/>
  <c r="I21" i="56"/>
  <c r="H21" i="56"/>
  <c r="G21" i="56"/>
  <c r="E21" i="56"/>
  <c r="D21" i="56"/>
  <c r="M20" i="56"/>
  <c r="L20" i="56"/>
  <c r="K20" i="56"/>
  <c r="J20" i="56"/>
  <c r="I20" i="56"/>
  <c r="G20" i="56"/>
  <c r="E20" i="56"/>
  <c r="D20" i="56"/>
  <c r="M19" i="56"/>
  <c r="L19" i="56"/>
  <c r="K19" i="56"/>
  <c r="J19" i="56"/>
  <c r="I19" i="56"/>
  <c r="H19" i="56"/>
  <c r="F19" i="56"/>
  <c r="E19" i="56"/>
  <c r="M18" i="56"/>
  <c r="L18" i="56"/>
  <c r="K18" i="56"/>
  <c r="J18" i="56"/>
  <c r="H18" i="56"/>
  <c r="F18" i="56"/>
  <c r="E18" i="56"/>
  <c r="M17" i="56"/>
  <c r="L17" i="56"/>
  <c r="K17" i="56"/>
  <c r="J17" i="56"/>
  <c r="I17" i="56"/>
  <c r="H17" i="56"/>
  <c r="G17" i="56"/>
  <c r="F17" i="56"/>
  <c r="E17" i="56"/>
  <c r="D17" i="56"/>
  <c r="M16" i="56"/>
  <c r="L16" i="56"/>
  <c r="K16" i="56"/>
  <c r="J16" i="56"/>
  <c r="I16" i="56"/>
  <c r="H16" i="56"/>
  <c r="G16" i="56"/>
  <c r="F16" i="56"/>
  <c r="E16" i="56"/>
  <c r="D16" i="56"/>
  <c r="M13" i="56"/>
  <c r="L13" i="56"/>
  <c r="K13" i="56"/>
  <c r="I6" i="56" s="1"/>
  <c r="J13" i="56"/>
  <c r="I13" i="56"/>
  <c r="H13" i="56"/>
  <c r="G6" i="56" s="1"/>
  <c r="G13" i="56"/>
  <c r="F13" i="56"/>
  <c r="E13" i="56"/>
  <c r="D13" i="56"/>
  <c r="F3" i="56"/>
  <c r="C3" i="56"/>
  <c r="N61" i="57" l="1"/>
  <c r="AF61" i="57"/>
  <c r="AE61" i="57"/>
  <c r="N32" i="57"/>
  <c r="AF32" i="57"/>
  <c r="AE42" i="57"/>
  <c r="N42" i="57"/>
  <c r="Q42" i="57" s="1"/>
  <c r="AF42" i="57"/>
  <c r="AE39" i="57"/>
  <c r="N39" i="57"/>
  <c r="Q39" i="57" s="1"/>
  <c r="AF39" i="57"/>
  <c r="N7" i="57"/>
  <c r="AE7" i="57"/>
  <c r="AE62" i="57"/>
  <c r="AF62" i="57"/>
  <c r="N11" i="57"/>
  <c r="AE11" i="57"/>
  <c r="N59" i="57"/>
  <c r="AE59" i="57"/>
  <c r="AF59" i="57"/>
  <c r="AE8" i="57"/>
  <c r="AF8" i="57"/>
  <c r="N8" i="57"/>
  <c r="P8" i="57" s="1"/>
  <c r="N37" i="57"/>
  <c r="AE37" i="57"/>
  <c r="AF45" i="57"/>
  <c r="N45" i="57"/>
  <c r="Q45" i="57" s="1"/>
  <c r="N41" i="57"/>
  <c r="AE41" i="57"/>
  <c r="N57" i="57"/>
  <c r="AF57" i="57"/>
  <c r="AE57" i="57"/>
  <c r="AF30" i="59"/>
  <c r="AG25" i="59" s="1"/>
  <c r="D19" i="56"/>
  <c r="Q8" i="57"/>
  <c r="N46" i="57"/>
  <c r="Q46" i="57" s="1"/>
  <c r="Y2" i="57"/>
  <c r="K6" i="56" s="1"/>
  <c r="F1" i="57"/>
  <c r="M18" i="57"/>
  <c r="Q48" i="59"/>
  <c r="P48" i="59"/>
  <c r="P32" i="59"/>
  <c r="AF12" i="57"/>
  <c r="Q18" i="59"/>
  <c r="P18" i="59"/>
  <c r="P31" i="59"/>
  <c r="F7" i="62"/>
  <c r="G7" i="62"/>
  <c r="G8" i="62"/>
  <c r="F8" i="62"/>
  <c r="E8" i="62"/>
  <c r="E7" i="62"/>
  <c r="I8" i="62"/>
  <c r="D2" i="61"/>
  <c r="Q9" i="61"/>
  <c r="R5" i="61" s="1"/>
  <c r="P9" i="61"/>
  <c r="D14" i="60"/>
  <c r="P17" i="61"/>
  <c r="F14" i="60"/>
  <c r="F15" i="60" s="1"/>
  <c r="Q17" i="61"/>
  <c r="R13" i="61" s="1"/>
  <c r="Q12" i="61"/>
  <c r="R10" i="61" s="1"/>
  <c r="P12" i="61"/>
  <c r="E14" i="60"/>
  <c r="E15" i="60" s="1"/>
  <c r="G14" i="60"/>
  <c r="G15" i="60" s="1"/>
  <c r="Q24" i="61"/>
  <c r="R18" i="61" s="1"/>
  <c r="P24" i="61"/>
  <c r="P50" i="61"/>
  <c r="I14" i="60"/>
  <c r="I15" i="60" s="1"/>
  <c r="Q50" i="61"/>
  <c r="R43" i="61" s="1"/>
  <c r="P36" i="61"/>
  <c r="L14" i="60"/>
  <c r="L15" i="60" s="1"/>
  <c r="Q36" i="61"/>
  <c r="R31" i="61" s="1"/>
  <c r="M14" i="60"/>
  <c r="M15" i="60" s="1"/>
  <c r="Q62" i="61"/>
  <c r="R57" i="61" s="1"/>
  <c r="P62" i="61"/>
  <c r="Q42" i="61"/>
  <c r="R37" i="61" s="1"/>
  <c r="P42" i="61"/>
  <c r="H14" i="60"/>
  <c r="H15" i="60" s="1"/>
  <c r="K14" i="60"/>
  <c r="P30" i="61"/>
  <c r="Q30" i="61"/>
  <c r="R25" i="61" s="1"/>
  <c r="AF62" i="59"/>
  <c r="AG57" i="59" s="1"/>
  <c r="AE62" i="59"/>
  <c r="N62" i="59"/>
  <c r="AF36" i="59"/>
  <c r="AG31" i="59" s="1"/>
  <c r="AE36" i="59"/>
  <c r="N36" i="59"/>
  <c r="AF50" i="59"/>
  <c r="AG43" i="59" s="1"/>
  <c r="N50" i="59"/>
  <c r="AE50" i="59"/>
  <c r="Q28" i="59"/>
  <c r="P28" i="59"/>
  <c r="Q6" i="59"/>
  <c r="P6" i="59"/>
  <c r="N24" i="59"/>
  <c r="AE24" i="59"/>
  <c r="AF24" i="59"/>
  <c r="AG18" i="59" s="1"/>
  <c r="Q46" i="59"/>
  <c r="P46" i="59"/>
  <c r="Q52" i="59"/>
  <c r="P52" i="59"/>
  <c r="Q27" i="59"/>
  <c r="P27" i="59"/>
  <c r="Q29" i="59"/>
  <c r="P29" i="59"/>
  <c r="P38" i="59"/>
  <c r="Q38" i="59"/>
  <c r="AE12" i="59"/>
  <c r="N12" i="59"/>
  <c r="AF12" i="59"/>
  <c r="AG10" i="59" s="1"/>
  <c r="P47" i="59"/>
  <c r="Q47" i="59"/>
  <c r="Q25" i="59"/>
  <c r="P25" i="59"/>
  <c r="Q20" i="59"/>
  <c r="P20" i="59"/>
  <c r="K14" i="58"/>
  <c r="Q30" i="59"/>
  <c r="R25" i="59" s="1"/>
  <c r="P30" i="59"/>
  <c r="AF9" i="59"/>
  <c r="AG5" i="59" s="1"/>
  <c r="AE9" i="59"/>
  <c r="N9" i="59"/>
  <c r="P61" i="59"/>
  <c r="Q61" i="59"/>
  <c r="AF56" i="59"/>
  <c r="AG51" i="59" s="1"/>
  <c r="AE56" i="59"/>
  <c r="N56" i="59"/>
  <c r="Q26" i="59"/>
  <c r="P26" i="59"/>
  <c r="Q21" i="59"/>
  <c r="P21" i="59"/>
  <c r="Q22" i="59"/>
  <c r="P22" i="59"/>
  <c r="P55" i="59"/>
  <c r="Q55" i="59"/>
  <c r="P10" i="59"/>
  <c r="Q10" i="59"/>
  <c r="Q37" i="59"/>
  <c r="P37" i="59"/>
  <c r="P8" i="59"/>
  <c r="Q8" i="59"/>
  <c r="P13" i="59"/>
  <c r="Q13" i="59"/>
  <c r="Q49" i="59"/>
  <c r="P49" i="59"/>
  <c r="Q33" i="59"/>
  <c r="P33" i="59"/>
  <c r="Q19" i="59"/>
  <c r="P19" i="59"/>
  <c r="Q11" i="59"/>
  <c r="P11" i="59"/>
  <c r="Q43" i="59"/>
  <c r="P43" i="59"/>
  <c r="Q16" i="59"/>
  <c r="P16" i="59"/>
  <c r="Q14" i="59"/>
  <c r="P14" i="59"/>
  <c r="Q58" i="59"/>
  <c r="P58" i="59"/>
  <c r="Q59" i="59"/>
  <c r="P59" i="59"/>
  <c r="AF17" i="59"/>
  <c r="AG13" i="59" s="1"/>
  <c r="N17" i="59"/>
  <c r="AE17" i="59"/>
  <c r="P54" i="59"/>
  <c r="Q54" i="59"/>
  <c r="Q39" i="59"/>
  <c r="P39" i="59"/>
  <c r="AF42" i="59"/>
  <c r="AG37" i="59" s="1"/>
  <c r="AE42" i="59"/>
  <c r="N42" i="59"/>
  <c r="Q41" i="59"/>
  <c r="P41" i="59"/>
  <c r="Q40" i="59"/>
  <c r="P40" i="59"/>
  <c r="Q34" i="59"/>
  <c r="P34" i="59"/>
  <c r="F2" i="57"/>
  <c r="I3" i="56"/>
  <c r="N22" i="57"/>
  <c r="AF22" i="57"/>
  <c r="AE22" i="57"/>
  <c r="N30" i="57"/>
  <c r="AF30" i="57"/>
  <c r="AE30" i="57"/>
  <c r="AF21" i="57"/>
  <c r="AE21" i="57"/>
  <c r="N21" i="57"/>
  <c r="Q41" i="57"/>
  <c r="P41" i="57"/>
  <c r="N55" i="57"/>
  <c r="AF55" i="57"/>
  <c r="AE55" i="57"/>
  <c r="N6" i="57"/>
  <c r="AF6" i="57"/>
  <c r="AE6" i="57"/>
  <c r="N26" i="57"/>
  <c r="AF26" i="57"/>
  <c r="M31" i="57"/>
  <c r="AE26" i="57"/>
  <c r="N28" i="57"/>
  <c r="AF28" i="57"/>
  <c r="AE28" i="57"/>
  <c r="N23" i="57"/>
  <c r="AF23" i="57"/>
  <c r="AE23" i="57"/>
  <c r="N53" i="57"/>
  <c r="AF53" i="57"/>
  <c r="M58" i="57"/>
  <c r="AE53" i="57"/>
  <c r="N24" i="57"/>
  <c r="AF24" i="57"/>
  <c r="AE24" i="57"/>
  <c r="AF18" i="57"/>
  <c r="AG14" i="57" s="1"/>
  <c r="AE18" i="57"/>
  <c r="N18" i="57"/>
  <c r="Q35" i="57"/>
  <c r="P35" i="57"/>
  <c r="Q7" i="57"/>
  <c r="P7" i="57"/>
  <c r="N51" i="57"/>
  <c r="AF51" i="57"/>
  <c r="AE51" i="57"/>
  <c r="N56" i="57"/>
  <c r="AF56" i="57"/>
  <c r="AE56" i="57"/>
  <c r="AF49" i="57"/>
  <c r="AE49" i="57"/>
  <c r="N49" i="57"/>
  <c r="Q11" i="57"/>
  <c r="P11" i="57"/>
  <c r="N29" i="57"/>
  <c r="AF29" i="57"/>
  <c r="AE29" i="57"/>
  <c r="N33" i="57"/>
  <c r="M38" i="57"/>
  <c r="AF33" i="57"/>
  <c r="AE33" i="57"/>
  <c r="N5" i="57"/>
  <c r="M9" i="57"/>
  <c r="AF5" i="57"/>
  <c r="AE5" i="57"/>
  <c r="N27" i="57"/>
  <c r="AF27" i="57"/>
  <c r="AE27" i="57"/>
  <c r="Q32" i="57"/>
  <c r="P32" i="57"/>
  <c r="Q37" i="57"/>
  <c r="P37" i="57"/>
  <c r="Q57" i="57"/>
  <c r="P57" i="57"/>
  <c r="N54" i="57"/>
  <c r="AF54" i="57"/>
  <c r="AE54" i="57"/>
  <c r="N40" i="57"/>
  <c r="AF40" i="57"/>
  <c r="M44" i="57"/>
  <c r="AE40" i="57"/>
  <c r="N60" i="57"/>
  <c r="AF60" i="57"/>
  <c r="M64" i="57"/>
  <c r="AE60" i="57"/>
  <c r="Q59" i="57"/>
  <c r="P59" i="57"/>
  <c r="N34" i="57"/>
  <c r="AF34" i="57"/>
  <c r="AE34" i="57"/>
  <c r="N50" i="57"/>
  <c r="AF50" i="57"/>
  <c r="AE50" i="57"/>
  <c r="Q61" i="57"/>
  <c r="P61" i="57"/>
  <c r="AF7" i="57"/>
  <c r="AF11" i="57"/>
  <c r="N19" i="57"/>
  <c r="N20" i="57"/>
  <c r="AF35" i="57"/>
  <c r="AF37" i="57"/>
  <c r="AF41" i="57"/>
  <c r="N48" i="57"/>
  <c r="M13" i="57"/>
  <c r="N17" i="57"/>
  <c r="AE32" i="57"/>
  <c r="N47" i="57"/>
  <c r="AD2" i="57"/>
  <c r="N6" i="56" s="1"/>
  <c r="E6" i="56"/>
  <c r="F6" i="56"/>
  <c r="N10" i="57"/>
  <c r="N14" i="57"/>
  <c r="N15" i="57"/>
  <c r="N43" i="57"/>
  <c r="N63" i="57"/>
  <c r="P16" i="57"/>
  <c r="P45" i="57"/>
  <c r="P46" i="57"/>
  <c r="N62" i="57"/>
  <c r="M25" i="57"/>
  <c r="P12" i="57"/>
  <c r="AE19" i="57"/>
  <c r="AE20" i="57"/>
  <c r="P36" i="57"/>
  <c r="P39" i="57"/>
  <c r="P42" i="57"/>
  <c r="AE48" i="57"/>
  <c r="M52" i="57"/>
  <c r="AE17" i="57"/>
  <c r="AE47" i="57"/>
  <c r="AE16" i="57"/>
  <c r="AE45" i="57"/>
  <c r="AE46" i="57"/>
  <c r="AE10" i="57"/>
  <c r="AE14" i="57"/>
  <c r="AE15" i="57"/>
  <c r="AE43" i="57"/>
  <c r="AE63" i="57"/>
  <c r="AF14" i="57"/>
  <c r="AD67" i="55"/>
  <c r="Z67" i="55"/>
  <c r="Y67" i="55"/>
  <c r="M18" i="54" s="1"/>
  <c r="O67" i="55"/>
  <c r="K67" i="55"/>
  <c r="V66" i="55"/>
  <c r="M66" i="55" s="1"/>
  <c r="AE66" i="55" s="1"/>
  <c r="U66" i="55"/>
  <c r="O66" i="55"/>
  <c r="K66" i="55"/>
  <c r="G66" i="55"/>
  <c r="X65" i="55"/>
  <c r="W65" i="55"/>
  <c r="V65" i="55"/>
  <c r="M65" i="55" s="1"/>
  <c r="U65" i="55"/>
  <c r="O65" i="55"/>
  <c r="K65" i="55"/>
  <c r="G65" i="55"/>
  <c r="V64" i="55"/>
  <c r="M64" i="55" s="1"/>
  <c r="AE64" i="55" s="1"/>
  <c r="U64" i="55"/>
  <c r="O64" i="55"/>
  <c r="K64" i="55"/>
  <c r="G64" i="55"/>
  <c r="V63" i="55"/>
  <c r="M63" i="55" s="1"/>
  <c r="N63" i="55" s="1"/>
  <c r="U63" i="55"/>
  <c r="O63" i="55"/>
  <c r="K63" i="55"/>
  <c r="G63" i="55"/>
  <c r="V62" i="55"/>
  <c r="M62" i="55" s="1"/>
  <c r="U62" i="55"/>
  <c r="O62" i="55"/>
  <c r="K62" i="55"/>
  <c r="G62" i="55"/>
  <c r="X61" i="55"/>
  <c r="W61" i="55"/>
  <c r="V61" i="55"/>
  <c r="O61" i="55"/>
  <c r="M61" i="55"/>
  <c r="N61" i="55" s="1"/>
  <c r="K61" i="55"/>
  <c r="G61" i="55"/>
  <c r="AD60" i="55"/>
  <c r="Z60" i="55"/>
  <c r="Y60" i="55"/>
  <c r="O60" i="55"/>
  <c r="K60" i="55"/>
  <c r="V59" i="55"/>
  <c r="M59" i="55" s="1"/>
  <c r="U59" i="55"/>
  <c r="O59" i="55"/>
  <c r="K59" i="55"/>
  <c r="G59" i="55"/>
  <c r="V58" i="55"/>
  <c r="M58" i="55" s="1"/>
  <c r="U58" i="55"/>
  <c r="O58" i="55"/>
  <c r="K58" i="55"/>
  <c r="G58" i="55"/>
  <c r="V57" i="55"/>
  <c r="M57" i="55" s="1"/>
  <c r="U57" i="55"/>
  <c r="O57" i="55"/>
  <c r="K57" i="55"/>
  <c r="G57" i="55"/>
  <c r="V56" i="55"/>
  <c r="M56" i="55" s="1"/>
  <c r="U56" i="55"/>
  <c r="O56" i="55"/>
  <c r="K56" i="55"/>
  <c r="G56" i="55"/>
  <c r="V55" i="55"/>
  <c r="M55" i="55" s="1"/>
  <c r="O55" i="55"/>
  <c r="K55" i="55"/>
  <c r="G55" i="55"/>
  <c r="AD54" i="55"/>
  <c r="I21" i="54" s="1"/>
  <c r="Z54" i="55"/>
  <c r="Y54" i="55"/>
  <c r="I18" i="54" s="1"/>
  <c r="O54" i="55"/>
  <c r="K54" i="55"/>
  <c r="V53" i="55"/>
  <c r="M53" i="55" s="1"/>
  <c r="U53" i="55"/>
  <c r="O53" i="55"/>
  <c r="K53" i="55"/>
  <c r="G53" i="55"/>
  <c r="V52" i="55"/>
  <c r="M52" i="55" s="1"/>
  <c r="AF52" i="55" s="1"/>
  <c r="U52" i="55"/>
  <c r="O52" i="55"/>
  <c r="K52" i="55"/>
  <c r="G52" i="55"/>
  <c r="V51" i="55"/>
  <c r="M51" i="55" s="1"/>
  <c r="U51" i="55"/>
  <c r="O51" i="55"/>
  <c r="K51" i="55"/>
  <c r="G51" i="55"/>
  <c r="V50" i="55"/>
  <c r="U50" i="55"/>
  <c r="O50" i="55"/>
  <c r="M50" i="55"/>
  <c r="AF50" i="55" s="1"/>
  <c r="K50" i="55"/>
  <c r="G50" i="55"/>
  <c r="V49" i="55"/>
  <c r="U49" i="55"/>
  <c r="O49" i="55"/>
  <c r="M49" i="55"/>
  <c r="AF49" i="55" s="1"/>
  <c r="K49" i="55"/>
  <c r="G49" i="55"/>
  <c r="V48" i="55"/>
  <c r="U48" i="55"/>
  <c r="O48" i="55"/>
  <c r="M48" i="55"/>
  <c r="AE48" i="55" s="1"/>
  <c r="K48" i="55"/>
  <c r="G48" i="55"/>
  <c r="V47" i="55"/>
  <c r="M47" i="55" s="1"/>
  <c r="AE47" i="55" s="1"/>
  <c r="O47" i="55"/>
  <c r="K47" i="55"/>
  <c r="G47" i="55"/>
  <c r="AD46" i="55"/>
  <c r="H21" i="54" s="1"/>
  <c r="Z46" i="55"/>
  <c r="Y46" i="55"/>
  <c r="O46" i="55"/>
  <c r="K46" i="55"/>
  <c r="V45" i="55"/>
  <c r="M45" i="55" s="1"/>
  <c r="U45" i="55"/>
  <c r="O45" i="55"/>
  <c r="K45" i="55"/>
  <c r="G45" i="55"/>
  <c r="V44" i="55"/>
  <c r="M44" i="55" s="1"/>
  <c r="U44" i="55"/>
  <c r="O44" i="55"/>
  <c r="K44" i="55"/>
  <c r="G44" i="55"/>
  <c r="V43" i="55"/>
  <c r="M43" i="55" s="1"/>
  <c r="U43" i="55"/>
  <c r="O43" i="55"/>
  <c r="K43" i="55"/>
  <c r="G43" i="55"/>
  <c r="V42" i="55"/>
  <c r="M42" i="55" s="1"/>
  <c r="U42" i="55"/>
  <c r="O42" i="55"/>
  <c r="K42" i="55"/>
  <c r="G42" i="55"/>
  <c r="X41" i="55"/>
  <c r="W41" i="55"/>
  <c r="V41" i="55"/>
  <c r="M41" i="55" s="1"/>
  <c r="O41" i="55"/>
  <c r="K41" i="55"/>
  <c r="G41" i="55"/>
  <c r="AD40" i="55"/>
  <c r="Z40" i="55"/>
  <c r="L19" i="54" s="1"/>
  <c r="Y40" i="55"/>
  <c r="L18" i="54" s="1"/>
  <c r="O40" i="55"/>
  <c r="K40" i="55"/>
  <c r="V39" i="55"/>
  <c r="M39" i="55" s="1"/>
  <c r="U39" i="55"/>
  <c r="O39" i="55"/>
  <c r="K39" i="55"/>
  <c r="G39" i="55"/>
  <c r="V38" i="55"/>
  <c r="M38" i="55" s="1"/>
  <c r="U38" i="55"/>
  <c r="O38" i="55"/>
  <c r="K38" i="55"/>
  <c r="G38" i="55"/>
  <c r="X37" i="55"/>
  <c r="W37" i="55"/>
  <c r="V37" i="55"/>
  <c r="M37" i="55" s="1"/>
  <c r="U37" i="55"/>
  <c r="O37" i="55"/>
  <c r="K37" i="55"/>
  <c r="G37" i="55"/>
  <c r="V36" i="55"/>
  <c r="M36" i="55" s="1"/>
  <c r="U36" i="55"/>
  <c r="O36" i="55"/>
  <c r="K36" i="55"/>
  <c r="G36" i="55"/>
  <c r="V35" i="55"/>
  <c r="M35" i="55" s="1"/>
  <c r="U35" i="55"/>
  <c r="O35" i="55"/>
  <c r="K35" i="55"/>
  <c r="G35" i="55"/>
  <c r="V34" i="55"/>
  <c r="U34" i="55"/>
  <c r="O34" i="55"/>
  <c r="M34" i="55"/>
  <c r="AF34" i="55" s="1"/>
  <c r="K34" i="55"/>
  <c r="G34" i="55"/>
  <c r="X33" i="55"/>
  <c r="W33" i="55"/>
  <c r="V33" i="55"/>
  <c r="M33" i="55" s="1"/>
  <c r="O33" i="55"/>
  <c r="K33" i="55"/>
  <c r="G33" i="55"/>
  <c r="AD32" i="55"/>
  <c r="K21" i="54" s="1"/>
  <c r="Z32" i="55"/>
  <c r="K19" i="54" s="1"/>
  <c r="Y32" i="55"/>
  <c r="K18" i="54" s="1"/>
  <c r="O32" i="55"/>
  <c r="K32" i="55"/>
  <c r="V31" i="55"/>
  <c r="M31" i="55" s="1"/>
  <c r="AF31" i="55" s="1"/>
  <c r="U31" i="55"/>
  <c r="O31" i="55"/>
  <c r="K31" i="55"/>
  <c r="G31" i="55"/>
  <c r="X30" i="55"/>
  <c r="W30" i="55"/>
  <c r="V30" i="55"/>
  <c r="M30" i="55" s="1"/>
  <c r="U30" i="55"/>
  <c r="O30" i="55"/>
  <c r="K30" i="55"/>
  <c r="G30" i="55"/>
  <c r="V29" i="55"/>
  <c r="U29" i="55"/>
  <c r="O29" i="55"/>
  <c r="M29" i="55"/>
  <c r="AF29" i="55" s="1"/>
  <c r="K29" i="55"/>
  <c r="G29" i="55"/>
  <c r="V28" i="55"/>
  <c r="U28" i="55"/>
  <c r="O28" i="55"/>
  <c r="M28" i="55"/>
  <c r="AF28" i="55" s="1"/>
  <c r="K28" i="55"/>
  <c r="G28" i="55"/>
  <c r="V27" i="55"/>
  <c r="U27" i="55"/>
  <c r="P27" i="55"/>
  <c r="O27" i="55"/>
  <c r="N27" i="55"/>
  <c r="Q27" i="55" s="1"/>
  <c r="M27" i="55"/>
  <c r="AF27" i="55" s="1"/>
  <c r="K27" i="55"/>
  <c r="G27" i="55"/>
  <c r="X26" i="55"/>
  <c r="W26" i="55"/>
  <c r="V26" i="55"/>
  <c r="O26" i="55"/>
  <c r="M26" i="55"/>
  <c r="K26" i="55"/>
  <c r="G26" i="55"/>
  <c r="AD25" i="55"/>
  <c r="G21" i="54" s="1"/>
  <c r="Z25" i="55"/>
  <c r="Y25" i="55"/>
  <c r="O25" i="55"/>
  <c r="K25" i="55"/>
  <c r="V24" i="55"/>
  <c r="U24" i="55"/>
  <c r="P24" i="55"/>
  <c r="O24" i="55"/>
  <c r="N24" i="55"/>
  <c r="Q24" i="55" s="1"/>
  <c r="M24" i="55"/>
  <c r="AF24" i="55" s="1"/>
  <c r="K24" i="55"/>
  <c r="G24" i="55"/>
  <c r="V23" i="55"/>
  <c r="U23" i="55"/>
  <c r="O23" i="55"/>
  <c r="M23" i="55"/>
  <c r="AF23" i="55" s="1"/>
  <c r="K23" i="55"/>
  <c r="G23" i="55"/>
  <c r="V22" i="55"/>
  <c r="M22" i="55" s="1"/>
  <c r="AE22" i="55" s="1"/>
  <c r="U22" i="55"/>
  <c r="O22" i="55"/>
  <c r="K22" i="55"/>
  <c r="G22" i="55"/>
  <c r="V21" i="55"/>
  <c r="M21" i="55" s="1"/>
  <c r="N21" i="55" s="1"/>
  <c r="U21" i="55"/>
  <c r="O21" i="55"/>
  <c r="K21" i="55"/>
  <c r="G21" i="55"/>
  <c r="V20" i="55"/>
  <c r="M20" i="55" s="1"/>
  <c r="U20" i="55"/>
  <c r="O20" i="55"/>
  <c r="K20" i="55"/>
  <c r="G20" i="55"/>
  <c r="V19" i="55"/>
  <c r="M19" i="55" s="1"/>
  <c r="O19" i="55"/>
  <c r="K19" i="55"/>
  <c r="G19" i="55"/>
  <c r="AD18" i="55"/>
  <c r="F21" i="54" s="1"/>
  <c r="Z18" i="55"/>
  <c r="F19" i="54" s="1"/>
  <c r="Y18" i="55"/>
  <c r="O18" i="55"/>
  <c r="K18" i="55"/>
  <c r="F13" i="54" s="1"/>
  <c r="V17" i="55"/>
  <c r="M17" i="55" s="1"/>
  <c r="U17" i="55"/>
  <c r="O17" i="55"/>
  <c r="K17" i="55"/>
  <c r="G17" i="55"/>
  <c r="V16" i="55"/>
  <c r="M16" i="55" s="1"/>
  <c r="U16" i="55"/>
  <c r="O16" i="55"/>
  <c r="K16" i="55"/>
  <c r="G16" i="55"/>
  <c r="V15" i="55"/>
  <c r="M15" i="55" s="1"/>
  <c r="U15" i="55"/>
  <c r="O15" i="55"/>
  <c r="K15" i="55"/>
  <c r="G15" i="55"/>
  <c r="V14" i="55"/>
  <c r="M14" i="55" s="1"/>
  <c r="O14" i="55"/>
  <c r="K14" i="55"/>
  <c r="G14" i="55"/>
  <c r="AD13" i="55"/>
  <c r="E21" i="54" s="1"/>
  <c r="Z13" i="55"/>
  <c r="E19" i="54" s="1"/>
  <c r="Y13" i="55"/>
  <c r="E18" i="54" s="1"/>
  <c r="O13" i="55"/>
  <c r="K13" i="55"/>
  <c r="V12" i="55"/>
  <c r="U12" i="55"/>
  <c r="O12" i="55"/>
  <c r="M12" i="55"/>
  <c r="AF12" i="55" s="1"/>
  <c r="K12" i="55"/>
  <c r="G12" i="55"/>
  <c r="X11" i="55"/>
  <c r="W11" i="55"/>
  <c r="V11" i="55"/>
  <c r="M11" i="55" s="1"/>
  <c r="U11" i="55"/>
  <c r="O11" i="55"/>
  <c r="K11" i="55"/>
  <c r="G11" i="55"/>
  <c r="V10" i="55"/>
  <c r="M10" i="55" s="1"/>
  <c r="O10" i="55"/>
  <c r="K10" i="55"/>
  <c r="G10" i="55"/>
  <c r="AD9" i="55"/>
  <c r="D21" i="54" s="1"/>
  <c r="Z9" i="55"/>
  <c r="Y9" i="55"/>
  <c r="O9" i="55"/>
  <c r="K9" i="55"/>
  <c r="V8" i="55"/>
  <c r="M8" i="55" s="1"/>
  <c r="U8" i="55"/>
  <c r="O8" i="55"/>
  <c r="K8" i="55"/>
  <c r="G8" i="55"/>
  <c r="V7" i="55"/>
  <c r="U7" i="55"/>
  <c r="O7" i="55"/>
  <c r="M7" i="55"/>
  <c r="AF7" i="55" s="1"/>
  <c r="K7" i="55"/>
  <c r="G7" i="55"/>
  <c r="V6" i="55"/>
  <c r="U6" i="55"/>
  <c r="O6" i="55"/>
  <c r="N6" i="55"/>
  <c r="Q6" i="55" s="1"/>
  <c r="M6" i="55"/>
  <c r="AF6" i="55" s="1"/>
  <c r="K6" i="55"/>
  <c r="G6" i="55"/>
  <c r="V5" i="55"/>
  <c r="O5" i="55"/>
  <c r="M5" i="55"/>
  <c r="K5" i="55"/>
  <c r="G5" i="55"/>
  <c r="H2" i="55"/>
  <c r="H1" i="55"/>
  <c r="D1" i="55"/>
  <c r="F3" i="54" s="1"/>
  <c r="M22" i="54"/>
  <c r="L22" i="54"/>
  <c r="K22" i="54"/>
  <c r="J22" i="54"/>
  <c r="I22" i="54"/>
  <c r="H22" i="54"/>
  <c r="G22" i="54"/>
  <c r="F22" i="54"/>
  <c r="E22" i="54"/>
  <c r="D22" i="54"/>
  <c r="M21" i="54"/>
  <c r="L21" i="54"/>
  <c r="J21" i="54"/>
  <c r="M20" i="54"/>
  <c r="L20" i="54"/>
  <c r="K20" i="54"/>
  <c r="J20" i="54"/>
  <c r="I20" i="54"/>
  <c r="H20" i="54"/>
  <c r="G20" i="54"/>
  <c r="F20" i="54"/>
  <c r="E20" i="54"/>
  <c r="D20" i="54"/>
  <c r="M19" i="54"/>
  <c r="J19" i="54"/>
  <c r="I19" i="54"/>
  <c r="H19" i="54"/>
  <c r="G19" i="54"/>
  <c r="J18" i="54"/>
  <c r="H18" i="54"/>
  <c r="G18" i="54"/>
  <c r="F18" i="54"/>
  <c r="M17" i="54"/>
  <c r="L17" i="54"/>
  <c r="K17" i="54"/>
  <c r="J17" i="54"/>
  <c r="I17" i="54"/>
  <c r="H17" i="54"/>
  <c r="G17" i="54"/>
  <c r="F17" i="54"/>
  <c r="E17" i="54"/>
  <c r="D17" i="54"/>
  <c r="M16" i="54"/>
  <c r="L16" i="54"/>
  <c r="K16" i="54"/>
  <c r="J16" i="54"/>
  <c r="I16" i="54"/>
  <c r="H16" i="54"/>
  <c r="G16" i="54"/>
  <c r="F16" i="54"/>
  <c r="E16" i="54"/>
  <c r="D16" i="54"/>
  <c r="M13" i="54"/>
  <c r="L13" i="54"/>
  <c r="K13" i="54"/>
  <c r="I6" i="54" s="1"/>
  <c r="J13" i="54"/>
  <c r="I13" i="54"/>
  <c r="H13" i="54"/>
  <c r="G13" i="54"/>
  <c r="E13" i="54"/>
  <c r="D13" i="54"/>
  <c r="M6" i="54"/>
  <c r="C3" i="54"/>
  <c r="AF51" i="55" l="1"/>
  <c r="N51" i="55"/>
  <c r="AF8" i="55"/>
  <c r="N8" i="55"/>
  <c r="AF65" i="55"/>
  <c r="AE65" i="55"/>
  <c r="N65" i="55"/>
  <c r="Q65" i="55" s="1"/>
  <c r="N50" i="55"/>
  <c r="Y2" i="55"/>
  <c r="K6" i="54" s="1"/>
  <c r="Z2" i="55"/>
  <c r="L6" i="54" s="1"/>
  <c r="N7" i="55"/>
  <c r="N49" i="55"/>
  <c r="Q49" i="55" s="1"/>
  <c r="N28" i="55"/>
  <c r="F1" i="55"/>
  <c r="F2" i="55" s="1"/>
  <c r="M9" i="55"/>
  <c r="N5" i="55"/>
  <c r="Q5" i="55" s="1"/>
  <c r="N23" i="55"/>
  <c r="Q23" i="55" s="1"/>
  <c r="D15" i="60"/>
  <c r="G7" i="60"/>
  <c r="F7" i="60"/>
  <c r="E7" i="60"/>
  <c r="I7" i="60"/>
  <c r="K15" i="60"/>
  <c r="I8" i="60" s="1"/>
  <c r="Q50" i="59"/>
  <c r="R43" i="59" s="1"/>
  <c r="I14" i="58"/>
  <c r="I15" i="58" s="1"/>
  <c r="P50" i="59"/>
  <c r="P36" i="59"/>
  <c r="L14" i="58"/>
  <c r="L15" i="58" s="1"/>
  <c r="Q36" i="59"/>
  <c r="R31" i="59" s="1"/>
  <c r="Q24" i="59"/>
  <c r="R18" i="59" s="1"/>
  <c r="G14" i="58"/>
  <c r="G15" i="58" s="1"/>
  <c r="P24" i="59"/>
  <c r="Q62" i="59"/>
  <c r="R57" i="59" s="1"/>
  <c r="P62" i="59"/>
  <c r="M14" i="58"/>
  <c r="M15" i="58" s="1"/>
  <c r="K15" i="58"/>
  <c r="Q12" i="59"/>
  <c r="R10" i="59" s="1"/>
  <c r="P12" i="59"/>
  <c r="E14" i="58"/>
  <c r="E15" i="58" s="1"/>
  <c r="J14" i="58"/>
  <c r="J15" i="58" s="1"/>
  <c r="Q56" i="59"/>
  <c r="R51" i="59" s="1"/>
  <c r="P56" i="59"/>
  <c r="P17" i="59"/>
  <c r="Q17" i="59"/>
  <c r="R13" i="59" s="1"/>
  <c r="F14" i="58"/>
  <c r="F15" i="58" s="1"/>
  <c r="Q42" i="59"/>
  <c r="R37" i="59" s="1"/>
  <c r="H14" i="58"/>
  <c r="H15" i="58" s="1"/>
  <c r="P42" i="59"/>
  <c r="D2" i="59"/>
  <c r="D14" i="58"/>
  <c r="Q9" i="59"/>
  <c r="R5" i="59" s="1"/>
  <c r="P9" i="59"/>
  <c r="N25" i="57"/>
  <c r="AF25" i="57"/>
  <c r="AG19" i="57" s="1"/>
  <c r="AE25" i="57"/>
  <c r="AF64" i="57"/>
  <c r="AG59" i="57" s="1"/>
  <c r="AE64" i="57"/>
  <c r="N64" i="57"/>
  <c r="P28" i="57"/>
  <c r="Q28" i="57"/>
  <c r="Q60" i="57"/>
  <c r="P60" i="57"/>
  <c r="Q33" i="57"/>
  <c r="P33" i="57"/>
  <c r="P24" i="57"/>
  <c r="Q24" i="57"/>
  <c r="N31" i="57"/>
  <c r="AF31" i="57"/>
  <c r="AG26" i="57" s="1"/>
  <c r="AE31" i="57"/>
  <c r="Q17" i="57"/>
  <c r="P17" i="57"/>
  <c r="Q21" i="57"/>
  <c r="P21" i="57"/>
  <c r="N52" i="57"/>
  <c r="AF52" i="57"/>
  <c r="AG45" i="57" s="1"/>
  <c r="AE52" i="57"/>
  <c r="AE13" i="57"/>
  <c r="AF13" i="57"/>
  <c r="AG10" i="57" s="1"/>
  <c r="N13" i="57"/>
  <c r="AF44" i="57"/>
  <c r="AG39" i="57" s="1"/>
  <c r="AE44" i="57"/>
  <c r="N44" i="57"/>
  <c r="P51" i="57"/>
  <c r="Q51" i="57"/>
  <c r="AE58" i="57"/>
  <c r="N58" i="57"/>
  <c r="AF58" i="57"/>
  <c r="AG53" i="57" s="1"/>
  <c r="Q26" i="57"/>
  <c r="P26" i="57"/>
  <c r="Q56" i="57"/>
  <c r="P56" i="57"/>
  <c r="Q63" i="57"/>
  <c r="P63" i="57"/>
  <c r="Q48" i="57"/>
  <c r="P48" i="57"/>
  <c r="Q50" i="57"/>
  <c r="P50" i="57"/>
  <c r="Q29" i="57"/>
  <c r="P29" i="57"/>
  <c r="Q43" i="57"/>
  <c r="P43" i="57"/>
  <c r="Q40" i="57"/>
  <c r="P40" i="57"/>
  <c r="P27" i="57"/>
  <c r="Q27" i="57"/>
  <c r="P53" i="57"/>
  <c r="Q53" i="57"/>
  <c r="Q30" i="57"/>
  <c r="P30" i="57"/>
  <c r="Q15" i="57"/>
  <c r="P15" i="57"/>
  <c r="Q6" i="57"/>
  <c r="P6" i="57"/>
  <c r="Q14" i="57"/>
  <c r="P14" i="57"/>
  <c r="Q34" i="57"/>
  <c r="P34" i="57"/>
  <c r="Q49" i="57"/>
  <c r="P49" i="57"/>
  <c r="AE38" i="57"/>
  <c r="N38" i="57"/>
  <c r="AF38" i="57"/>
  <c r="AG32" i="57" s="1"/>
  <c r="Q10" i="57"/>
  <c r="P10" i="57"/>
  <c r="Q20" i="57"/>
  <c r="P20" i="57"/>
  <c r="P54" i="57"/>
  <c r="Q54" i="57"/>
  <c r="AE9" i="57"/>
  <c r="AF9" i="57"/>
  <c r="AG5" i="57" s="1"/>
  <c r="N9" i="57"/>
  <c r="F14" i="56"/>
  <c r="F15" i="56" s="1"/>
  <c r="Q18" i="57"/>
  <c r="R14" i="57" s="1"/>
  <c r="P18" i="57"/>
  <c r="P23" i="57"/>
  <c r="Q23" i="57"/>
  <c r="Q22" i="57"/>
  <c r="P22" i="57"/>
  <c r="Q47" i="57"/>
  <c r="P47" i="57"/>
  <c r="Q19" i="57"/>
  <c r="P19" i="57"/>
  <c r="Q5" i="57"/>
  <c r="P5" i="57"/>
  <c r="Q55" i="57"/>
  <c r="P55" i="57"/>
  <c r="Q62" i="57"/>
  <c r="P62" i="57"/>
  <c r="Q21" i="55"/>
  <c r="P21" i="55"/>
  <c r="N16" i="55"/>
  <c r="AE16" i="55"/>
  <c r="AF16" i="55"/>
  <c r="N36" i="55"/>
  <c r="AF36" i="55"/>
  <c r="AE36" i="55"/>
  <c r="N38" i="55"/>
  <c r="AF38" i="55"/>
  <c r="AE38" i="55"/>
  <c r="N45" i="55"/>
  <c r="AF45" i="55"/>
  <c r="AE45" i="55"/>
  <c r="N55" i="55"/>
  <c r="M60" i="55"/>
  <c r="AE55" i="55"/>
  <c r="AF55" i="55"/>
  <c r="N62" i="55"/>
  <c r="AF62" i="55"/>
  <c r="AE62" i="55"/>
  <c r="N58" i="55"/>
  <c r="AF58" i="55"/>
  <c r="AE58" i="55"/>
  <c r="N41" i="55"/>
  <c r="M46" i="55"/>
  <c r="AE41" i="55"/>
  <c r="AF41" i="55"/>
  <c r="N43" i="55"/>
  <c r="AF43" i="55"/>
  <c r="AE43" i="55"/>
  <c r="AF9" i="55"/>
  <c r="AG5" i="55" s="1"/>
  <c r="AE9" i="55"/>
  <c r="N9" i="55"/>
  <c r="M13" i="55"/>
  <c r="AF10" i="55"/>
  <c r="AE10" i="55"/>
  <c r="N10" i="55"/>
  <c r="AF53" i="55"/>
  <c r="AE53" i="55"/>
  <c r="N53" i="55"/>
  <c r="N17" i="55"/>
  <c r="AF17" i="55"/>
  <c r="AE17" i="55"/>
  <c r="Q61" i="55"/>
  <c r="P61" i="55"/>
  <c r="Q63" i="55"/>
  <c r="P63" i="55"/>
  <c r="G6" i="54"/>
  <c r="F6" i="54"/>
  <c r="E6" i="54"/>
  <c r="M32" i="55"/>
  <c r="N37" i="55"/>
  <c r="AF37" i="55"/>
  <c r="AE37" i="55"/>
  <c r="N39" i="55"/>
  <c r="AE39" i="55"/>
  <c r="AF39" i="55"/>
  <c r="N56" i="55"/>
  <c r="AE56" i="55"/>
  <c r="AF56" i="55"/>
  <c r="N15" i="55"/>
  <c r="AF15" i="55"/>
  <c r="AE15" i="55"/>
  <c r="N20" i="55"/>
  <c r="AF20" i="55"/>
  <c r="AE20" i="55"/>
  <c r="N33" i="55"/>
  <c r="AF33" i="55"/>
  <c r="M40" i="55"/>
  <c r="AE33" i="55"/>
  <c r="AF35" i="55"/>
  <c r="AE35" i="55"/>
  <c r="N35" i="55"/>
  <c r="N44" i="55"/>
  <c r="AF44" i="55"/>
  <c r="AE44" i="55"/>
  <c r="N59" i="55"/>
  <c r="AF59" i="55"/>
  <c r="AE59" i="55"/>
  <c r="N42" i="55"/>
  <c r="AE42" i="55"/>
  <c r="AF42" i="55"/>
  <c r="N14" i="55"/>
  <c r="M18" i="55"/>
  <c r="AF14" i="55"/>
  <c r="AE14" i="55"/>
  <c r="N19" i="55"/>
  <c r="AF19" i="55"/>
  <c r="M25" i="55"/>
  <c r="AE19" i="55"/>
  <c r="AF30" i="55"/>
  <c r="AE30" i="55"/>
  <c r="N30" i="55"/>
  <c r="AF11" i="55"/>
  <c r="AE11" i="55"/>
  <c r="N11" i="55"/>
  <c r="N57" i="55"/>
  <c r="AF57" i="55"/>
  <c r="AE57" i="55"/>
  <c r="N12" i="55"/>
  <c r="AF21" i="55"/>
  <c r="N26" i="55"/>
  <c r="N29" i="55"/>
  <c r="N31" i="55"/>
  <c r="N34" i="55"/>
  <c r="N52" i="55"/>
  <c r="AE61" i="55"/>
  <c r="AF63" i="55"/>
  <c r="D19" i="54"/>
  <c r="AD2" i="55"/>
  <c r="N6" i="54" s="1"/>
  <c r="AE21" i="55"/>
  <c r="AF22" i="55"/>
  <c r="AF47" i="55"/>
  <c r="AF48" i="55"/>
  <c r="AE63" i="55"/>
  <c r="AF64" i="55"/>
  <c r="AF66" i="55"/>
  <c r="D18" i="54"/>
  <c r="AF61" i="55"/>
  <c r="M67" i="55"/>
  <c r="N22" i="55"/>
  <c r="N47" i="55"/>
  <c r="N48" i="55"/>
  <c r="N64" i="55"/>
  <c r="N66" i="55"/>
  <c r="P5" i="55"/>
  <c r="P6" i="55"/>
  <c r="P23" i="55"/>
  <c r="P49" i="55"/>
  <c r="P65" i="55"/>
  <c r="AE12" i="55"/>
  <c r="AE29" i="55"/>
  <c r="AE31" i="55"/>
  <c r="AE34" i="55"/>
  <c r="AE52" i="55"/>
  <c r="AE8" i="55"/>
  <c r="AE28" i="55"/>
  <c r="AE51" i="55"/>
  <c r="AE7" i="55"/>
  <c r="AE24" i="55"/>
  <c r="AE26" i="55"/>
  <c r="AE27" i="55"/>
  <c r="AE50" i="55"/>
  <c r="M54" i="55"/>
  <c r="AE5" i="55"/>
  <c r="AE6" i="55"/>
  <c r="AE23" i="55"/>
  <c r="AF26" i="55"/>
  <c r="AE49" i="55"/>
  <c r="AF5" i="55"/>
  <c r="AD68" i="53"/>
  <c r="Z68" i="53"/>
  <c r="Y68" i="53"/>
  <c r="O68" i="53"/>
  <c r="K68" i="53"/>
  <c r="V67" i="53"/>
  <c r="U67" i="53"/>
  <c r="O67" i="53"/>
  <c r="N67" i="53"/>
  <c r="M67" i="53"/>
  <c r="AF67" i="53" s="1"/>
  <c r="K67" i="53"/>
  <c r="G67" i="53"/>
  <c r="AF66" i="53"/>
  <c r="AE66" i="53"/>
  <c r="X66" i="53"/>
  <c r="W66" i="53"/>
  <c r="V66" i="53"/>
  <c r="U66" i="53"/>
  <c r="O66" i="53"/>
  <c r="M66" i="53"/>
  <c r="N66" i="53" s="1"/>
  <c r="Q66" i="53" s="1"/>
  <c r="K66" i="53"/>
  <c r="G66" i="53"/>
  <c r="V65" i="53"/>
  <c r="U65" i="53"/>
  <c r="O65" i="53"/>
  <c r="N65" i="53"/>
  <c r="M65" i="53"/>
  <c r="AF65" i="53" s="1"/>
  <c r="K65" i="53"/>
  <c r="G65" i="53"/>
  <c r="V64" i="53"/>
  <c r="M64" i="53" s="1"/>
  <c r="U64" i="53"/>
  <c r="O64" i="53"/>
  <c r="K64" i="53"/>
  <c r="G64" i="53"/>
  <c r="V63" i="53"/>
  <c r="M63" i="53" s="1"/>
  <c r="U63" i="53"/>
  <c r="O63" i="53"/>
  <c r="K63" i="53"/>
  <c r="G63" i="53"/>
  <c r="X62" i="53"/>
  <c r="W62" i="53"/>
  <c r="V62" i="53"/>
  <c r="M62" i="53" s="1"/>
  <c r="O62" i="53"/>
  <c r="K62" i="53"/>
  <c r="G62" i="53"/>
  <c r="AD61" i="53"/>
  <c r="Z61" i="53"/>
  <c r="Y61" i="53"/>
  <c r="O61" i="53"/>
  <c r="K61" i="53"/>
  <c r="V60" i="53"/>
  <c r="U60" i="53"/>
  <c r="O60" i="53"/>
  <c r="M60" i="53"/>
  <c r="N60" i="53" s="1"/>
  <c r="K60" i="53"/>
  <c r="G60" i="53"/>
  <c r="V59" i="53"/>
  <c r="U59" i="53"/>
  <c r="O59" i="53"/>
  <c r="N59" i="53"/>
  <c r="P59" i="53" s="1"/>
  <c r="M59" i="53"/>
  <c r="AE59" i="53" s="1"/>
  <c r="K59" i="53"/>
  <c r="G59" i="53"/>
  <c r="AF58" i="53"/>
  <c r="V58" i="53"/>
  <c r="U58" i="53"/>
  <c r="O58" i="53"/>
  <c r="M58" i="53"/>
  <c r="N58" i="53" s="1"/>
  <c r="K58" i="53"/>
  <c r="G58" i="53"/>
  <c r="V57" i="53"/>
  <c r="M57" i="53" s="1"/>
  <c r="U57" i="53"/>
  <c r="O57" i="53"/>
  <c r="K57" i="53"/>
  <c r="G57" i="53"/>
  <c r="V56" i="53"/>
  <c r="O56" i="53"/>
  <c r="M56" i="53"/>
  <c r="N56" i="53" s="1"/>
  <c r="K56" i="53"/>
  <c r="G56" i="53"/>
  <c r="AD55" i="53"/>
  <c r="Z55" i="53"/>
  <c r="Y55" i="53"/>
  <c r="O55" i="53"/>
  <c r="K55" i="53"/>
  <c r="V54" i="53"/>
  <c r="M54" i="53" s="1"/>
  <c r="U54" i="53"/>
  <c r="O54" i="53"/>
  <c r="K54" i="53"/>
  <c r="G54" i="53"/>
  <c r="X53" i="53"/>
  <c r="W53" i="53"/>
  <c r="V53" i="53"/>
  <c r="U53" i="53"/>
  <c r="O53" i="53"/>
  <c r="N53" i="53"/>
  <c r="Q53" i="53" s="1"/>
  <c r="M53" i="53"/>
  <c r="AE53" i="53" s="1"/>
  <c r="K53" i="53"/>
  <c r="G53" i="53"/>
  <c r="V52" i="53"/>
  <c r="M52" i="53" s="1"/>
  <c r="U52" i="53"/>
  <c r="O52" i="53"/>
  <c r="K52" i="53"/>
  <c r="G52" i="53"/>
  <c r="V51" i="53"/>
  <c r="M51" i="53" s="1"/>
  <c r="U51" i="53"/>
  <c r="O51" i="53"/>
  <c r="K51" i="53"/>
  <c r="G51" i="53"/>
  <c r="V50" i="53"/>
  <c r="M50" i="53" s="1"/>
  <c r="U50" i="53"/>
  <c r="O50" i="53"/>
  <c r="K50" i="53"/>
  <c r="G50" i="53"/>
  <c r="V49" i="53"/>
  <c r="M49" i="53" s="1"/>
  <c r="U49" i="53"/>
  <c r="O49" i="53"/>
  <c r="K49" i="53"/>
  <c r="G49" i="53"/>
  <c r="V48" i="53"/>
  <c r="U48" i="53"/>
  <c r="O48" i="53"/>
  <c r="N48" i="53"/>
  <c r="Q48" i="53" s="1"/>
  <c r="M48" i="53"/>
  <c r="AF48" i="53" s="1"/>
  <c r="K48" i="53"/>
  <c r="G48" i="53"/>
  <c r="V47" i="53"/>
  <c r="O47" i="53"/>
  <c r="M47" i="53"/>
  <c r="AF47" i="53" s="1"/>
  <c r="K47" i="53"/>
  <c r="G47" i="53"/>
  <c r="AD46" i="53"/>
  <c r="Z46" i="53"/>
  <c r="Y46" i="53"/>
  <c r="O46" i="53"/>
  <c r="K46" i="53"/>
  <c r="AE45" i="53"/>
  <c r="V45" i="53"/>
  <c r="U45" i="53"/>
  <c r="O45" i="53"/>
  <c r="M45" i="53"/>
  <c r="N45" i="53" s="1"/>
  <c r="Q45" i="53" s="1"/>
  <c r="K45" i="53"/>
  <c r="G45" i="53"/>
  <c r="V44" i="53"/>
  <c r="M44" i="53" s="1"/>
  <c r="U44" i="53"/>
  <c r="O44" i="53"/>
  <c r="K44" i="53"/>
  <c r="G44" i="53"/>
  <c r="V43" i="53"/>
  <c r="M43" i="53" s="1"/>
  <c r="U43" i="53"/>
  <c r="O43" i="53"/>
  <c r="K43" i="53"/>
  <c r="G43" i="53"/>
  <c r="AF42" i="53"/>
  <c r="V42" i="53"/>
  <c r="U42" i="53"/>
  <c r="O42" i="53"/>
  <c r="M42" i="53"/>
  <c r="AE42" i="53" s="1"/>
  <c r="K42" i="53"/>
  <c r="G42" i="53"/>
  <c r="AF41" i="53"/>
  <c r="AE41" i="53"/>
  <c r="X41" i="53"/>
  <c r="W41" i="53"/>
  <c r="V41" i="53"/>
  <c r="O41" i="53"/>
  <c r="M41" i="53"/>
  <c r="N41" i="53" s="1"/>
  <c r="K41" i="53"/>
  <c r="G41" i="53"/>
  <c r="AD40" i="53"/>
  <c r="Z40" i="53"/>
  <c r="L19" i="52" s="1"/>
  <c r="Y40" i="53"/>
  <c r="O40" i="53"/>
  <c r="K40" i="53"/>
  <c r="V39" i="53"/>
  <c r="M39" i="53" s="1"/>
  <c r="U39" i="53"/>
  <c r="O39" i="53"/>
  <c r="K39" i="53"/>
  <c r="G39" i="53"/>
  <c r="V38" i="53"/>
  <c r="U38" i="53"/>
  <c r="O38" i="53"/>
  <c r="M38" i="53"/>
  <c r="N38" i="53" s="1"/>
  <c r="K38" i="53"/>
  <c r="G38" i="53"/>
  <c r="X37" i="53"/>
  <c r="W37" i="53"/>
  <c r="V37" i="53"/>
  <c r="M37" i="53" s="1"/>
  <c r="U37" i="53"/>
  <c r="O37" i="53"/>
  <c r="K37" i="53"/>
  <c r="G37" i="53"/>
  <c r="V36" i="53"/>
  <c r="U36" i="53"/>
  <c r="O36" i="53"/>
  <c r="M36" i="53"/>
  <c r="N36" i="53" s="1"/>
  <c r="K36" i="53"/>
  <c r="G36" i="53"/>
  <c r="V35" i="53"/>
  <c r="U35" i="53"/>
  <c r="O35" i="53"/>
  <c r="M35" i="53"/>
  <c r="N35" i="53" s="1"/>
  <c r="K35" i="53"/>
  <c r="G35" i="53"/>
  <c r="V34" i="53"/>
  <c r="U34" i="53"/>
  <c r="O34" i="53"/>
  <c r="N34" i="53"/>
  <c r="P34" i="53" s="1"/>
  <c r="M34" i="53"/>
  <c r="AF34" i="53" s="1"/>
  <c r="K34" i="53"/>
  <c r="G34" i="53"/>
  <c r="X33" i="53"/>
  <c r="W33" i="53"/>
  <c r="V33" i="53"/>
  <c r="O33" i="53"/>
  <c r="M33" i="53"/>
  <c r="N33" i="53" s="1"/>
  <c r="K33" i="53"/>
  <c r="G33" i="53"/>
  <c r="AD32" i="53"/>
  <c r="Z32" i="53"/>
  <c r="Y32" i="53"/>
  <c r="O32" i="53"/>
  <c r="K32" i="53"/>
  <c r="V31" i="53"/>
  <c r="U31" i="53"/>
  <c r="O31" i="53"/>
  <c r="N31" i="53"/>
  <c r="P31" i="53" s="1"/>
  <c r="M31" i="53"/>
  <c r="AF31" i="53" s="1"/>
  <c r="K31" i="53"/>
  <c r="G31" i="53"/>
  <c r="AF30" i="53"/>
  <c r="X30" i="53"/>
  <c r="W30" i="53"/>
  <c r="V30" i="53"/>
  <c r="U30" i="53"/>
  <c r="P30" i="53"/>
  <c r="O30" i="53"/>
  <c r="N30" i="53"/>
  <c r="Q30" i="53" s="1"/>
  <c r="M30" i="53"/>
  <c r="AE30" i="53" s="1"/>
  <c r="K30" i="53"/>
  <c r="G30" i="53"/>
  <c r="V29" i="53"/>
  <c r="U29" i="53"/>
  <c r="O29" i="53"/>
  <c r="N29" i="53"/>
  <c r="P29" i="53" s="1"/>
  <c r="M29" i="53"/>
  <c r="AF29" i="53" s="1"/>
  <c r="K29" i="53"/>
  <c r="G29" i="53"/>
  <c r="V28" i="53"/>
  <c r="U28" i="53"/>
  <c r="O28" i="53"/>
  <c r="M28" i="53"/>
  <c r="AF28" i="53" s="1"/>
  <c r="K28" i="53"/>
  <c r="G28" i="53"/>
  <c r="AE27" i="53"/>
  <c r="V27" i="53"/>
  <c r="U27" i="53"/>
  <c r="O27" i="53"/>
  <c r="N27" i="53"/>
  <c r="Q27" i="53" s="1"/>
  <c r="M27" i="53"/>
  <c r="AF27" i="53" s="1"/>
  <c r="K27" i="53"/>
  <c r="G27" i="53"/>
  <c r="X26" i="53"/>
  <c r="W26" i="53"/>
  <c r="V26" i="53"/>
  <c r="O26" i="53"/>
  <c r="N26" i="53"/>
  <c r="M26" i="53"/>
  <c r="K26" i="53"/>
  <c r="G26" i="53"/>
  <c r="AD25" i="53"/>
  <c r="Z25" i="53"/>
  <c r="Y25" i="53"/>
  <c r="O25" i="53"/>
  <c r="K25" i="53"/>
  <c r="V24" i="53"/>
  <c r="M24" i="53" s="1"/>
  <c r="U24" i="53"/>
  <c r="O24" i="53"/>
  <c r="K24" i="53"/>
  <c r="G24" i="53"/>
  <c r="V23" i="53"/>
  <c r="M23" i="53" s="1"/>
  <c r="U23" i="53"/>
  <c r="O23" i="53"/>
  <c r="K23" i="53"/>
  <c r="G23" i="53"/>
  <c r="V22" i="53"/>
  <c r="M22" i="53" s="1"/>
  <c r="U22" i="53"/>
  <c r="O22" i="53"/>
  <c r="K22" i="53"/>
  <c r="G22" i="53"/>
  <c r="V21" i="53"/>
  <c r="M21" i="53" s="1"/>
  <c r="U21" i="53"/>
  <c r="O21" i="53"/>
  <c r="K21" i="53"/>
  <c r="G21" i="53"/>
  <c r="V20" i="53"/>
  <c r="M20" i="53" s="1"/>
  <c r="U20" i="53"/>
  <c r="O20" i="53"/>
  <c r="K20" i="53"/>
  <c r="G20" i="53"/>
  <c r="V19" i="53"/>
  <c r="M19" i="53" s="1"/>
  <c r="O19" i="53"/>
  <c r="K19" i="53"/>
  <c r="G19" i="53"/>
  <c r="AD18" i="53"/>
  <c r="Z18" i="53"/>
  <c r="Y18" i="53"/>
  <c r="O18" i="53"/>
  <c r="K18" i="53"/>
  <c r="AF17" i="53"/>
  <c r="V17" i="53"/>
  <c r="U17" i="53"/>
  <c r="O17" i="53"/>
  <c r="N17" i="53"/>
  <c r="M17" i="53"/>
  <c r="AE17" i="53" s="1"/>
  <c r="K17" i="53"/>
  <c r="G17" i="53"/>
  <c r="V16" i="53"/>
  <c r="U16" i="53"/>
  <c r="O16" i="53"/>
  <c r="N16" i="53"/>
  <c r="Q16" i="53" s="1"/>
  <c r="M16" i="53"/>
  <c r="AF16" i="53" s="1"/>
  <c r="K16" i="53"/>
  <c r="G16" i="53"/>
  <c r="V15" i="53"/>
  <c r="M15" i="53" s="1"/>
  <c r="U15" i="53"/>
  <c r="O15" i="53"/>
  <c r="K15" i="53"/>
  <c r="G15" i="53"/>
  <c r="V14" i="53"/>
  <c r="O14" i="53"/>
  <c r="M14" i="53"/>
  <c r="N14" i="53" s="1"/>
  <c r="K14" i="53"/>
  <c r="G14" i="53"/>
  <c r="AD13" i="53"/>
  <c r="Z13" i="53"/>
  <c r="Y13" i="53"/>
  <c r="O13" i="53"/>
  <c r="K13" i="53"/>
  <c r="V12" i="53"/>
  <c r="U12" i="53"/>
  <c r="O12" i="53"/>
  <c r="M12" i="53"/>
  <c r="K12" i="53"/>
  <c r="G12" i="53"/>
  <c r="X11" i="53"/>
  <c r="W11" i="53"/>
  <c r="V11" i="53"/>
  <c r="U11" i="53"/>
  <c r="O11" i="53"/>
  <c r="N11" i="53"/>
  <c r="Q11" i="53" s="1"/>
  <c r="M11" i="53"/>
  <c r="AE11" i="53" s="1"/>
  <c r="K11" i="53"/>
  <c r="G11" i="53"/>
  <c r="V10" i="53"/>
  <c r="M10" i="53" s="1"/>
  <c r="O10" i="53"/>
  <c r="K10" i="53"/>
  <c r="G10" i="53"/>
  <c r="AD9" i="53"/>
  <c r="Z9" i="53"/>
  <c r="Z2" i="53" s="1"/>
  <c r="L6" i="52" s="1"/>
  <c r="Y9" i="53"/>
  <c r="O9" i="53"/>
  <c r="K9" i="53"/>
  <c r="V8" i="53"/>
  <c r="M8" i="53" s="1"/>
  <c r="U8" i="53"/>
  <c r="O8" i="53"/>
  <c r="K8" i="53"/>
  <c r="G8" i="53"/>
  <c r="V7" i="53"/>
  <c r="U7" i="53"/>
  <c r="O7" i="53"/>
  <c r="N7" i="53"/>
  <c r="Q7" i="53" s="1"/>
  <c r="M7" i="53"/>
  <c r="AF7" i="53" s="1"/>
  <c r="K7" i="53"/>
  <c r="G7" i="53"/>
  <c r="V6" i="53"/>
  <c r="M6" i="53" s="1"/>
  <c r="U6" i="53"/>
  <c r="O6" i="53"/>
  <c r="K6" i="53"/>
  <c r="G6" i="53"/>
  <c r="AF5" i="53"/>
  <c r="AE5" i="53"/>
  <c r="V5" i="53"/>
  <c r="O5" i="53"/>
  <c r="M5" i="53"/>
  <c r="N5" i="53" s="1"/>
  <c r="P5" i="53" s="1"/>
  <c r="K5" i="53"/>
  <c r="G5" i="53"/>
  <c r="F1" i="53" s="1"/>
  <c r="I3" i="52" s="1"/>
  <c r="AD2" i="53"/>
  <c r="Y2" i="53"/>
  <c r="H2" i="53"/>
  <c r="H1" i="53"/>
  <c r="D1" i="53"/>
  <c r="M22" i="52"/>
  <c r="L22" i="52"/>
  <c r="K22" i="52"/>
  <c r="J22" i="52"/>
  <c r="I22" i="52"/>
  <c r="H22" i="52"/>
  <c r="G22" i="52"/>
  <c r="F22" i="52"/>
  <c r="E22" i="52"/>
  <c r="D22" i="52"/>
  <c r="M21" i="52"/>
  <c r="L21" i="52"/>
  <c r="K21" i="52"/>
  <c r="J21" i="52"/>
  <c r="I21" i="52"/>
  <c r="H21" i="52"/>
  <c r="G21" i="52"/>
  <c r="F21" i="52"/>
  <c r="E21" i="52"/>
  <c r="D21" i="52"/>
  <c r="M20" i="52"/>
  <c r="L20" i="52"/>
  <c r="K20" i="52"/>
  <c r="J20" i="52"/>
  <c r="I20" i="52"/>
  <c r="H20" i="52"/>
  <c r="G20" i="52"/>
  <c r="F20" i="52"/>
  <c r="E20" i="52"/>
  <c r="D20" i="52"/>
  <c r="M19" i="52"/>
  <c r="K19" i="52"/>
  <c r="J19" i="52"/>
  <c r="I19" i="52"/>
  <c r="H19" i="52"/>
  <c r="G19" i="52"/>
  <c r="F19" i="52"/>
  <c r="E19" i="52"/>
  <c r="D19" i="52"/>
  <c r="M18" i="52"/>
  <c r="L18" i="52"/>
  <c r="K18" i="52"/>
  <c r="J18" i="52"/>
  <c r="I18" i="52"/>
  <c r="H18" i="52"/>
  <c r="G18" i="52"/>
  <c r="F18" i="52"/>
  <c r="E18" i="52"/>
  <c r="D18" i="52"/>
  <c r="M17" i="52"/>
  <c r="L17" i="52"/>
  <c r="K17" i="52"/>
  <c r="J17" i="52"/>
  <c r="I17" i="52"/>
  <c r="H17" i="52"/>
  <c r="G17" i="52"/>
  <c r="F17" i="52"/>
  <c r="E17" i="52"/>
  <c r="D17" i="52"/>
  <c r="M16" i="52"/>
  <c r="L16" i="52"/>
  <c r="K16" i="52"/>
  <c r="J16" i="52"/>
  <c r="I16" i="52"/>
  <c r="H16" i="52"/>
  <c r="G16" i="52"/>
  <c r="F16" i="52"/>
  <c r="E16" i="52"/>
  <c r="D16" i="52"/>
  <c r="M13" i="52"/>
  <c r="L13" i="52"/>
  <c r="K13" i="52"/>
  <c r="J13" i="52"/>
  <c r="I13" i="52"/>
  <c r="H13" i="52"/>
  <c r="G13" i="52"/>
  <c r="F13" i="52"/>
  <c r="G6" i="52" s="1"/>
  <c r="E13" i="52"/>
  <c r="D13" i="52"/>
  <c r="N6" i="52"/>
  <c r="M6" i="52"/>
  <c r="K6" i="52"/>
  <c r="I6" i="52"/>
  <c r="F3" i="52"/>
  <c r="C3" i="52"/>
  <c r="AF24" i="53" l="1"/>
  <c r="AE24" i="53"/>
  <c r="N24" i="53"/>
  <c r="N39" i="53"/>
  <c r="AF39" i="53"/>
  <c r="AE39" i="53"/>
  <c r="AF49" i="53"/>
  <c r="AE49" i="53"/>
  <c r="N49" i="53"/>
  <c r="P49" i="53" s="1"/>
  <c r="N63" i="53"/>
  <c r="AF63" i="53"/>
  <c r="AE63" i="53"/>
  <c r="M55" i="53"/>
  <c r="N55" i="53" s="1"/>
  <c r="N52" i="53"/>
  <c r="P52" i="53" s="1"/>
  <c r="AE52" i="53"/>
  <c r="AF20" i="53"/>
  <c r="AE20" i="53"/>
  <c r="N20" i="53"/>
  <c r="Q20" i="53" s="1"/>
  <c r="AF10" i="53"/>
  <c r="AE10" i="53"/>
  <c r="N10" i="53"/>
  <c r="M25" i="53"/>
  <c r="AF19" i="53"/>
  <c r="AE19" i="53"/>
  <c r="N19" i="53"/>
  <c r="Q19" i="53" s="1"/>
  <c r="AF6" i="53"/>
  <c r="AE6" i="53"/>
  <c r="N6" i="53"/>
  <c r="P6" i="53" s="1"/>
  <c r="N21" i="53"/>
  <c r="Q21" i="53" s="1"/>
  <c r="AF21" i="53"/>
  <c r="AE21" i="53"/>
  <c r="N50" i="53"/>
  <c r="AF50" i="53"/>
  <c r="AE50" i="53"/>
  <c r="N64" i="53"/>
  <c r="Q64" i="53" s="1"/>
  <c r="AF64" i="53"/>
  <c r="AE64" i="53"/>
  <c r="AE23" i="53"/>
  <c r="N23" i="53"/>
  <c r="P23" i="53" s="1"/>
  <c r="AF23" i="53"/>
  <c r="N57" i="53"/>
  <c r="AF57" i="53"/>
  <c r="AE57" i="53"/>
  <c r="N43" i="53"/>
  <c r="AF43" i="53"/>
  <c r="AE43" i="53"/>
  <c r="N37" i="53"/>
  <c r="AF37" i="53"/>
  <c r="AE37" i="53"/>
  <c r="AF54" i="53"/>
  <c r="N54" i="53"/>
  <c r="P54" i="53" s="1"/>
  <c r="AE54" i="53"/>
  <c r="AF22" i="53"/>
  <c r="AE22" i="53"/>
  <c r="N22" i="53"/>
  <c r="Q22" i="53" s="1"/>
  <c r="AF51" i="53"/>
  <c r="AE51" i="53"/>
  <c r="N51" i="53"/>
  <c r="Q51" i="53" s="1"/>
  <c r="N44" i="53"/>
  <c r="AF44" i="53"/>
  <c r="AE44" i="53"/>
  <c r="N15" i="53"/>
  <c r="M18" i="53"/>
  <c r="AF15" i="53"/>
  <c r="AE15" i="53"/>
  <c r="AF8" i="53"/>
  <c r="AE8" i="53"/>
  <c r="N8" i="53"/>
  <c r="Q8" i="53" s="1"/>
  <c r="Q35" i="53"/>
  <c r="P35" i="53"/>
  <c r="M68" i="53"/>
  <c r="AF68" i="53" s="1"/>
  <c r="AG62" i="53" s="1"/>
  <c r="AF62" i="53"/>
  <c r="AE62" i="53"/>
  <c r="N62" i="53"/>
  <c r="Q62" i="53" s="1"/>
  <c r="AF59" i="53"/>
  <c r="M32" i="53"/>
  <c r="N32" i="53" s="1"/>
  <c r="N28" i="53"/>
  <c r="P28" i="53" s="1"/>
  <c r="AF45" i="53"/>
  <c r="M13" i="53"/>
  <c r="AF13" i="53" s="1"/>
  <c r="AG10" i="53" s="1"/>
  <c r="P17" i="53"/>
  <c r="P26" i="53"/>
  <c r="N12" i="53"/>
  <c r="Q12" i="53" s="1"/>
  <c r="M46" i="53"/>
  <c r="Q17" i="53"/>
  <c r="AE48" i="53"/>
  <c r="AE28" i="53"/>
  <c r="AE35" i="53"/>
  <c r="AF35" i="53"/>
  <c r="AE12" i="53"/>
  <c r="AE33" i="53"/>
  <c r="N42" i="53"/>
  <c r="AE60" i="53"/>
  <c r="Q65" i="53"/>
  <c r="Q67" i="53"/>
  <c r="Q28" i="55"/>
  <c r="P28" i="55"/>
  <c r="M40" i="53"/>
  <c r="P53" i="53"/>
  <c r="AF60" i="53"/>
  <c r="M9" i="53"/>
  <c r="AE58" i="53"/>
  <c r="Q7" i="55"/>
  <c r="P7" i="55"/>
  <c r="M61" i="53"/>
  <c r="AE65" i="53"/>
  <c r="AE67" i="53"/>
  <c r="P27" i="53"/>
  <c r="N47" i="53"/>
  <c r="Q47" i="53" s="1"/>
  <c r="Q50" i="55"/>
  <c r="P50" i="55"/>
  <c r="P7" i="53"/>
  <c r="P11" i="53"/>
  <c r="P16" i="53"/>
  <c r="AE36" i="53"/>
  <c r="AE56" i="53"/>
  <c r="I3" i="54"/>
  <c r="AE29" i="53"/>
  <c r="AE31" i="53"/>
  <c r="AF36" i="53"/>
  <c r="AE38" i="53"/>
  <c r="AF53" i="53"/>
  <c r="AF56" i="53"/>
  <c r="AE34" i="53"/>
  <c r="AF38" i="53"/>
  <c r="AE47" i="53"/>
  <c r="Q59" i="53"/>
  <c r="Q8" i="55"/>
  <c r="P8" i="55"/>
  <c r="AE7" i="53"/>
  <c r="AE16" i="53"/>
  <c r="AE14" i="53"/>
  <c r="Q51" i="55"/>
  <c r="P51" i="55"/>
  <c r="AF11" i="53"/>
  <c r="AF14" i="53"/>
  <c r="E8" i="60"/>
  <c r="G8" i="60"/>
  <c r="F8" i="60"/>
  <c r="I7" i="58"/>
  <c r="G7" i="58"/>
  <c r="D15" i="58"/>
  <c r="F7" i="58"/>
  <c r="E7" i="58"/>
  <c r="I8" i="58"/>
  <c r="Q25" i="57"/>
  <c r="R19" i="57" s="1"/>
  <c r="P25" i="57"/>
  <c r="G14" i="56"/>
  <c r="G15" i="56" s="1"/>
  <c r="Q58" i="57"/>
  <c r="R53" i="57" s="1"/>
  <c r="P58" i="57"/>
  <c r="J14" i="56"/>
  <c r="J15" i="56" s="1"/>
  <c r="Q52" i="57"/>
  <c r="R45" i="57" s="1"/>
  <c r="P52" i="57"/>
  <c r="I14" i="56"/>
  <c r="I15" i="56" s="1"/>
  <c r="Q38" i="57"/>
  <c r="R32" i="57" s="1"/>
  <c r="P38" i="57"/>
  <c r="L14" i="56"/>
  <c r="L15" i="56" s="1"/>
  <c r="D2" i="57"/>
  <c r="Q9" i="57"/>
  <c r="R5" i="57" s="1"/>
  <c r="P9" i="57"/>
  <c r="D14" i="56"/>
  <c r="Q44" i="57"/>
  <c r="R39" i="57" s="1"/>
  <c r="P44" i="57"/>
  <c r="H14" i="56"/>
  <c r="H15" i="56" s="1"/>
  <c r="Q13" i="57"/>
  <c r="R10" i="57" s="1"/>
  <c r="P13" i="57"/>
  <c r="E14" i="56"/>
  <c r="E15" i="56" s="1"/>
  <c r="Q31" i="57"/>
  <c r="R26" i="57" s="1"/>
  <c r="P31" i="57"/>
  <c r="K14" i="56"/>
  <c r="Q64" i="57"/>
  <c r="R59" i="57" s="1"/>
  <c r="P64" i="57"/>
  <c r="M14" i="56"/>
  <c r="M15" i="56" s="1"/>
  <c r="Q34" i="55"/>
  <c r="P34" i="55"/>
  <c r="Q14" i="55"/>
  <c r="P14" i="55"/>
  <c r="Q45" i="55"/>
  <c r="P45" i="55"/>
  <c r="Q29" i="55"/>
  <c r="P29" i="55"/>
  <c r="Q30" i="55"/>
  <c r="P30" i="55"/>
  <c r="N40" i="55"/>
  <c r="AF40" i="55"/>
  <c r="AG33" i="55" s="1"/>
  <c r="AE40" i="55"/>
  <c r="Q9" i="55"/>
  <c r="R5" i="55" s="1"/>
  <c r="D14" i="54"/>
  <c r="P9" i="55"/>
  <c r="Q58" i="55"/>
  <c r="P58" i="55"/>
  <c r="Q26" i="55"/>
  <c r="P26" i="55"/>
  <c r="P42" i="55"/>
  <c r="Q42" i="55"/>
  <c r="Q38" i="55"/>
  <c r="P38" i="55"/>
  <c r="Q66" i="55"/>
  <c r="P66" i="55"/>
  <c r="Q33" i="55"/>
  <c r="P33" i="55"/>
  <c r="P39" i="55"/>
  <c r="Q39" i="55"/>
  <c r="N13" i="55"/>
  <c r="AF13" i="55"/>
  <c r="AG10" i="55" s="1"/>
  <c r="AE13" i="55"/>
  <c r="Q64" i="55"/>
  <c r="P64" i="55"/>
  <c r="Q12" i="55"/>
  <c r="P12" i="55"/>
  <c r="Q62" i="55"/>
  <c r="P62" i="55"/>
  <c r="Q48" i="55"/>
  <c r="P48" i="55"/>
  <c r="AF25" i="55"/>
  <c r="AG19" i="55" s="1"/>
  <c r="AE25" i="55"/>
  <c r="N25" i="55"/>
  <c r="Q59" i="55"/>
  <c r="P59" i="55"/>
  <c r="P17" i="55"/>
  <c r="Q17" i="55"/>
  <c r="Q36" i="55"/>
  <c r="P36" i="55"/>
  <c r="P56" i="55"/>
  <c r="Q56" i="55"/>
  <c r="Q47" i="55"/>
  <c r="P47" i="55"/>
  <c r="Q20" i="55"/>
  <c r="P20" i="55"/>
  <c r="P37" i="55"/>
  <c r="Q37" i="55"/>
  <c r="Q53" i="55"/>
  <c r="P53" i="55"/>
  <c r="P43" i="55"/>
  <c r="Q43" i="55"/>
  <c r="P57" i="55"/>
  <c r="Q57" i="55"/>
  <c r="Q19" i="55"/>
  <c r="P19" i="55"/>
  <c r="N32" i="55"/>
  <c r="AF32" i="55"/>
  <c r="AG26" i="55" s="1"/>
  <c r="AE32" i="55"/>
  <c r="N60" i="55"/>
  <c r="AE60" i="55"/>
  <c r="AF60" i="55"/>
  <c r="AG55" i="55" s="1"/>
  <c r="Q31" i="55"/>
  <c r="P31" i="55"/>
  <c r="N54" i="55"/>
  <c r="AF54" i="55"/>
  <c r="AG47" i="55" s="1"/>
  <c r="AE54" i="55"/>
  <c r="AF67" i="55"/>
  <c r="AG61" i="55" s="1"/>
  <c r="AE67" i="55"/>
  <c r="N67" i="55"/>
  <c r="Q44" i="55"/>
  <c r="P44" i="55"/>
  <c r="P55" i="55"/>
  <c r="Q55" i="55"/>
  <c r="P16" i="55"/>
  <c r="Q16" i="55"/>
  <c r="Q22" i="55"/>
  <c r="P22" i="55"/>
  <c r="Q35" i="55"/>
  <c r="P35" i="55"/>
  <c r="Q15" i="55"/>
  <c r="P15" i="55"/>
  <c r="Q10" i="55"/>
  <c r="P10" i="55"/>
  <c r="N46" i="55"/>
  <c r="AE46" i="55"/>
  <c r="AF46" i="55"/>
  <c r="AG41" i="55" s="1"/>
  <c r="Q52" i="55"/>
  <c r="P52" i="55"/>
  <c r="Q11" i="55"/>
  <c r="P11" i="55"/>
  <c r="N18" i="55"/>
  <c r="AF18" i="55"/>
  <c r="AG14" i="55" s="1"/>
  <c r="AE18" i="55"/>
  <c r="Q41" i="55"/>
  <c r="P41" i="55"/>
  <c r="P58" i="53"/>
  <c r="Q58" i="53"/>
  <c r="P15" i="53"/>
  <c r="Q15" i="53"/>
  <c r="Q44" i="53"/>
  <c r="P44" i="53"/>
  <c r="AE32" i="53"/>
  <c r="AF32" i="53"/>
  <c r="AG26" i="53" s="1"/>
  <c r="Q57" i="53"/>
  <c r="P57" i="53"/>
  <c r="N13" i="53"/>
  <c r="AE13" i="53"/>
  <c r="P33" i="53"/>
  <c r="Q33" i="53"/>
  <c r="Q38" i="53"/>
  <c r="P38" i="53"/>
  <c r="Q14" i="53"/>
  <c r="P14" i="53"/>
  <c r="Q60" i="53"/>
  <c r="P60" i="53"/>
  <c r="P36" i="53"/>
  <c r="Q36" i="53"/>
  <c r="Q41" i="53"/>
  <c r="P41" i="53"/>
  <c r="Q63" i="53"/>
  <c r="P63" i="53"/>
  <c r="P56" i="53"/>
  <c r="Q56" i="53"/>
  <c r="Q26" i="53"/>
  <c r="Q29" i="53"/>
  <c r="Q31" i="53"/>
  <c r="Q34" i="53"/>
  <c r="Q52" i="53"/>
  <c r="Q54" i="53"/>
  <c r="N68" i="53"/>
  <c r="P12" i="53"/>
  <c r="P8" i="53"/>
  <c r="N46" i="53"/>
  <c r="Q5" i="53"/>
  <c r="Q6" i="53"/>
  <c r="P22" i="53"/>
  <c r="Q23" i="53"/>
  <c r="P47" i="53"/>
  <c r="P48" i="53"/>
  <c r="Q49" i="53"/>
  <c r="P66" i="53"/>
  <c r="E6" i="52"/>
  <c r="F2" i="53"/>
  <c r="AF12" i="53"/>
  <c r="AE25" i="53"/>
  <c r="AF33" i="53"/>
  <c r="AF52" i="53"/>
  <c r="P62" i="53"/>
  <c r="P65" i="53"/>
  <c r="P67" i="53"/>
  <c r="P19" i="53"/>
  <c r="P20" i="53"/>
  <c r="AE26" i="53"/>
  <c r="P45" i="53"/>
  <c r="P64" i="53"/>
  <c r="F6" i="52"/>
  <c r="AF26" i="53"/>
  <c r="AE68" i="53"/>
  <c r="AD68" i="51"/>
  <c r="Z68" i="51"/>
  <c r="Y68" i="51"/>
  <c r="O68" i="51"/>
  <c r="K68" i="51"/>
  <c r="M13" i="50" s="1"/>
  <c r="V67" i="51"/>
  <c r="M67" i="51" s="1"/>
  <c r="U67" i="51"/>
  <c r="O67" i="51"/>
  <c r="K67" i="51"/>
  <c r="G67" i="51"/>
  <c r="X66" i="51"/>
  <c r="W66" i="51"/>
  <c r="V66" i="51"/>
  <c r="M66" i="51" s="1"/>
  <c r="U66" i="51"/>
  <c r="O66" i="51"/>
  <c r="K66" i="51"/>
  <c r="G66" i="51"/>
  <c r="V65" i="51"/>
  <c r="M65" i="51" s="1"/>
  <c r="U65" i="51"/>
  <c r="O65" i="51"/>
  <c r="K65" i="51"/>
  <c r="G65" i="51"/>
  <c r="V64" i="51"/>
  <c r="U64" i="51"/>
  <c r="O64" i="51"/>
  <c r="M64" i="51"/>
  <c r="AF64" i="51" s="1"/>
  <c r="K64" i="51"/>
  <c r="G64" i="51"/>
  <c r="V63" i="51"/>
  <c r="M63" i="51" s="1"/>
  <c r="U63" i="51"/>
  <c r="O63" i="51"/>
  <c r="K63" i="51"/>
  <c r="G63" i="51"/>
  <c r="X62" i="51"/>
  <c r="W62" i="51"/>
  <c r="V62" i="51"/>
  <c r="M62" i="51" s="1"/>
  <c r="O62" i="51"/>
  <c r="K62" i="51"/>
  <c r="G62" i="51"/>
  <c r="AD61" i="51"/>
  <c r="Z61" i="51"/>
  <c r="Y61" i="51"/>
  <c r="O61" i="51"/>
  <c r="K61" i="51"/>
  <c r="V60" i="51"/>
  <c r="M60" i="51" s="1"/>
  <c r="U60" i="51"/>
  <c r="O60" i="51"/>
  <c r="K60" i="51"/>
  <c r="G60" i="51"/>
  <c r="V59" i="51"/>
  <c r="M59" i="51" s="1"/>
  <c r="U59" i="51"/>
  <c r="O59" i="51"/>
  <c r="K59" i="51"/>
  <c r="G59" i="51"/>
  <c r="V58" i="51"/>
  <c r="M58" i="51" s="1"/>
  <c r="U58" i="51"/>
  <c r="O58" i="51"/>
  <c r="K58" i="51"/>
  <c r="G58" i="51"/>
  <c r="V57" i="51"/>
  <c r="M57" i="51" s="1"/>
  <c r="U57" i="51"/>
  <c r="O57" i="51"/>
  <c r="K57" i="51"/>
  <c r="G57" i="51"/>
  <c r="V56" i="51"/>
  <c r="M56" i="51" s="1"/>
  <c r="O56" i="51"/>
  <c r="K56" i="51"/>
  <c r="G56" i="51"/>
  <c r="AD55" i="51"/>
  <c r="Z55" i="51"/>
  <c r="Y55" i="51"/>
  <c r="O55" i="51"/>
  <c r="K55" i="51"/>
  <c r="V54" i="51"/>
  <c r="M54" i="51" s="1"/>
  <c r="AE54" i="51" s="1"/>
  <c r="U54" i="51"/>
  <c r="O54" i="51"/>
  <c r="K54" i="51"/>
  <c r="G54" i="51"/>
  <c r="X53" i="51"/>
  <c r="W53" i="51"/>
  <c r="V53" i="51"/>
  <c r="M53" i="51" s="1"/>
  <c r="U53" i="51"/>
  <c r="O53" i="51"/>
  <c r="K53" i="51"/>
  <c r="G53" i="51"/>
  <c r="V52" i="51"/>
  <c r="M52" i="51" s="1"/>
  <c r="AE52" i="51" s="1"/>
  <c r="U52" i="51"/>
  <c r="O52" i="51"/>
  <c r="K52" i="51"/>
  <c r="G52" i="51"/>
  <c r="V51" i="51"/>
  <c r="M51" i="51" s="1"/>
  <c r="U51" i="51"/>
  <c r="O51" i="51"/>
  <c r="K51" i="51"/>
  <c r="G51" i="51"/>
  <c r="V50" i="51"/>
  <c r="U50" i="51"/>
  <c r="O50" i="51"/>
  <c r="M50" i="51"/>
  <c r="AF50" i="51" s="1"/>
  <c r="K50" i="51"/>
  <c r="G50" i="51"/>
  <c r="V49" i="51"/>
  <c r="M49" i="51" s="1"/>
  <c r="AF49" i="51" s="1"/>
  <c r="U49" i="51"/>
  <c r="O49" i="51"/>
  <c r="K49" i="51"/>
  <c r="G49" i="51"/>
  <c r="V48" i="51"/>
  <c r="U48" i="51"/>
  <c r="O48" i="51"/>
  <c r="N48" i="51"/>
  <c r="Q48" i="51" s="1"/>
  <c r="M48" i="51"/>
  <c r="AF48" i="51" s="1"/>
  <c r="K48" i="51"/>
  <c r="G48" i="51"/>
  <c r="V47" i="51"/>
  <c r="M47" i="51" s="1"/>
  <c r="O47" i="51"/>
  <c r="K47" i="51"/>
  <c r="G47" i="51"/>
  <c r="AD46" i="51"/>
  <c r="Z46" i="51"/>
  <c r="Y46" i="51"/>
  <c r="O46" i="51"/>
  <c r="K46" i="51"/>
  <c r="V45" i="51"/>
  <c r="U45" i="51"/>
  <c r="O45" i="51"/>
  <c r="M45" i="51"/>
  <c r="AF45" i="51" s="1"/>
  <c r="K45" i="51"/>
  <c r="G45" i="51"/>
  <c r="V44" i="51"/>
  <c r="M44" i="51" s="1"/>
  <c r="U44" i="51"/>
  <c r="O44" i="51"/>
  <c r="K44" i="51"/>
  <c r="G44" i="51"/>
  <c r="V43" i="51"/>
  <c r="M43" i="51" s="1"/>
  <c r="U43" i="51"/>
  <c r="O43" i="51"/>
  <c r="K43" i="51"/>
  <c r="G43" i="51"/>
  <c r="V42" i="51"/>
  <c r="M42" i="51" s="1"/>
  <c r="U42" i="51"/>
  <c r="O42" i="51"/>
  <c r="K42" i="51"/>
  <c r="G42" i="51"/>
  <c r="X41" i="51"/>
  <c r="W41" i="51"/>
  <c r="V41" i="51"/>
  <c r="M41" i="51" s="1"/>
  <c r="O41" i="51"/>
  <c r="K41" i="51"/>
  <c r="G41" i="51"/>
  <c r="AD40" i="51"/>
  <c r="L21" i="50" s="1"/>
  <c r="Z40" i="51"/>
  <c r="L19" i="50" s="1"/>
  <c r="Y40" i="51"/>
  <c r="O40" i="51"/>
  <c r="K40" i="51"/>
  <c r="V39" i="51"/>
  <c r="M39" i="51" s="1"/>
  <c r="U39" i="51"/>
  <c r="O39" i="51"/>
  <c r="K39" i="51"/>
  <c r="G39" i="51"/>
  <c r="V38" i="51"/>
  <c r="M38" i="51" s="1"/>
  <c r="U38" i="51"/>
  <c r="O38" i="51"/>
  <c r="K38" i="51"/>
  <c r="G38" i="51"/>
  <c r="V37" i="51"/>
  <c r="M37" i="51" s="1"/>
  <c r="AF37" i="51" s="1"/>
  <c r="U37" i="51"/>
  <c r="O37" i="51"/>
  <c r="K37" i="51"/>
  <c r="G37" i="51"/>
  <c r="X36" i="51"/>
  <c r="W36" i="51"/>
  <c r="V36" i="51"/>
  <c r="M36" i="51" s="1"/>
  <c r="AE36" i="51" s="1"/>
  <c r="U36" i="51"/>
  <c r="O36" i="51"/>
  <c r="K36" i="51"/>
  <c r="G36" i="51"/>
  <c r="V35" i="51"/>
  <c r="M35" i="51" s="1"/>
  <c r="AF35" i="51" s="1"/>
  <c r="U35" i="51"/>
  <c r="O35" i="51"/>
  <c r="K35" i="51"/>
  <c r="G35" i="51"/>
  <c r="V34" i="51"/>
  <c r="M34" i="51" s="1"/>
  <c r="AE34" i="51" s="1"/>
  <c r="U34" i="51"/>
  <c r="O34" i="51"/>
  <c r="K34" i="51"/>
  <c r="G34" i="51"/>
  <c r="V33" i="51"/>
  <c r="M33" i="51" s="1"/>
  <c r="U33" i="51"/>
  <c r="O33" i="51"/>
  <c r="K33" i="51"/>
  <c r="G33" i="51"/>
  <c r="X32" i="51"/>
  <c r="W32" i="51"/>
  <c r="V32" i="51"/>
  <c r="M32" i="51" s="1"/>
  <c r="M40" i="51" s="1"/>
  <c r="O32" i="51"/>
  <c r="K32" i="51"/>
  <c r="G32" i="51"/>
  <c r="AD31" i="51"/>
  <c r="K21" i="50" s="1"/>
  <c r="Z31" i="51"/>
  <c r="Y31" i="51"/>
  <c r="O31" i="51"/>
  <c r="K31" i="51"/>
  <c r="V30" i="51"/>
  <c r="M30" i="51" s="1"/>
  <c r="U30" i="51"/>
  <c r="O30" i="51"/>
  <c r="K30" i="51"/>
  <c r="G30" i="51"/>
  <c r="X29" i="51"/>
  <c r="W29" i="51"/>
  <c r="V29" i="51"/>
  <c r="M29" i="51" s="1"/>
  <c r="U29" i="51"/>
  <c r="O29" i="51"/>
  <c r="K29" i="51"/>
  <c r="G29" i="51"/>
  <c r="V28" i="51"/>
  <c r="M28" i="51" s="1"/>
  <c r="U28" i="51"/>
  <c r="O28" i="51"/>
  <c r="K28" i="51"/>
  <c r="G28" i="51"/>
  <c r="V27" i="51"/>
  <c r="U27" i="51"/>
  <c r="O27" i="51"/>
  <c r="M27" i="51"/>
  <c r="AF27" i="51" s="1"/>
  <c r="K27" i="51"/>
  <c r="G27" i="51"/>
  <c r="V26" i="51"/>
  <c r="M26" i="51" s="1"/>
  <c r="AF26" i="51" s="1"/>
  <c r="U26" i="51"/>
  <c r="O26" i="51"/>
  <c r="K26" i="51"/>
  <c r="G26" i="51"/>
  <c r="X25" i="51"/>
  <c r="W25" i="51"/>
  <c r="V25" i="51"/>
  <c r="M25" i="51" s="1"/>
  <c r="O25" i="51"/>
  <c r="K25" i="51"/>
  <c r="G25" i="51"/>
  <c r="AD24" i="51"/>
  <c r="G21" i="50" s="1"/>
  <c r="Z24" i="51"/>
  <c r="G19" i="50" s="1"/>
  <c r="Y24" i="51"/>
  <c r="G18" i="50" s="1"/>
  <c r="O24" i="51"/>
  <c r="K24" i="51"/>
  <c r="V23" i="51"/>
  <c r="U23" i="51"/>
  <c r="O23" i="51"/>
  <c r="M23" i="51"/>
  <c r="AF23" i="51" s="1"/>
  <c r="K23" i="51"/>
  <c r="G23" i="51"/>
  <c r="V22" i="51"/>
  <c r="M22" i="51" s="1"/>
  <c r="U22" i="51"/>
  <c r="O22" i="51"/>
  <c r="K22" i="51"/>
  <c r="G22" i="51"/>
  <c r="V21" i="51"/>
  <c r="M21" i="51" s="1"/>
  <c r="U21" i="51"/>
  <c r="O21" i="51"/>
  <c r="K21" i="51"/>
  <c r="G21" i="51"/>
  <c r="V20" i="51"/>
  <c r="M20" i="51" s="1"/>
  <c r="U20" i="51"/>
  <c r="O20" i="51"/>
  <c r="K20" i="51"/>
  <c r="G20" i="51"/>
  <c r="V19" i="51"/>
  <c r="O19" i="51"/>
  <c r="M19" i="51"/>
  <c r="AF19" i="51" s="1"/>
  <c r="K19" i="51"/>
  <c r="G19" i="51"/>
  <c r="AD18" i="51"/>
  <c r="F21" i="50" s="1"/>
  <c r="Z18" i="51"/>
  <c r="Y18" i="51"/>
  <c r="O18" i="51"/>
  <c r="K18" i="51"/>
  <c r="V17" i="51"/>
  <c r="M17" i="51" s="1"/>
  <c r="U17" i="51"/>
  <c r="O17" i="51"/>
  <c r="K17" i="51"/>
  <c r="G17" i="51"/>
  <c r="V16" i="51"/>
  <c r="M16" i="51" s="1"/>
  <c r="U16" i="51"/>
  <c r="O16" i="51"/>
  <c r="K16" i="51"/>
  <c r="G16" i="51"/>
  <c r="V15" i="51"/>
  <c r="M15" i="51" s="1"/>
  <c r="U15" i="51"/>
  <c r="O15" i="51"/>
  <c r="K15" i="51"/>
  <c r="G15" i="51"/>
  <c r="V14" i="51"/>
  <c r="M14" i="51" s="1"/>
  <c r="O14" i="51"/>
  <c r="K14" i="51"/>
  <c r="G14" i="51"/>
  <c r="AD13" i="51"/>
  <c r="Z13" i="51"/>
  <c r="Y13" i="51"/>
  <c r="E18" i="50" s="1"/>
  <c r="O13" i="51"/>
  <c r="K13" i="51"/>
  <c r="AE12" i="51"/>
  <c r="V12" i="51"/>
  <c r="M12" i="51" s="1"/>
  <c r="U12" i="51"/>
  <c r="O12" i="51"/>
  <c r="K12" i="51"/>
  <c r="G12" i="51"/>
  <c r="X11" i="51"/>
  <c r="W11" i="51"/>
  <c r="V11" i="51"/>
  <c r="M11" i="51" s="1"/>
  <c r="U11" i="51"/>
  <c r="O11" i="51"/>
  <c r="K11" i="51"/>
  <c r="G11" i="51"/>
  <c r="AF10" i="51"/>
  <c r="V10" i="51"/>
  <c r="M10" i="51" s="1"/>
  <c r="O10" i="51"/>
  <c r="K10" i="51"/>
  <c r="G10" i="51"/>
  <c r="AD9" i="51"/>
  <c r="AD2" i="51" s="1"/>
  <c r="N6" i="50" s="1"/>
  <c r="Z9" i="51"/>
  <c r="D19" i="50" s="1"/>
  <c r="Y9" i="51"/>
  <c r="O9" i="51"/>
  <c r="K9" i="51"/>
  <c r="V8" i="51"/>
  <c r="M8" i="51" s="1"/>
  <c r="U8" i="51"/>
  <c r="O8" i="51"/>
  <c r="K8" i="51"/>
  <c r="G8" i="51"/>
  <c r="V7" i="51"/>
  <c r="U7" i="51"/>
  <c r="O7" i="51"/>
  <c r="M7" i="51"/>
  <c r="AF7" i="51" s="1"/>
  <c r="K7" i="51"/>
  <c r="G7" i="51"/>
  <c r="V6" i="51"/>
  <c r="U6" i="51"/>
  <c r="O6" i="51"/>
  <c r="M6" i="51"/>
  <c r="AF6" i="51" s="1"/>
  <c r="K6" i="51"/>
  <c r="G6" i="51"/>
  <c r="V5" i="51"/>
  <c r="M5" i="51" s="1"/>
  <c r="M9" i="51" s="1"/>
  <c r="AE9" i="51" s="1"/>
  <c r="O5" i="51"/>
  <c r="K5" i="51"/>
  <c r="G5" i="51"/>
  <c r="H2" i="51"/>
  <c r="H1" i="51"/>
  <c r="D1" i="51"/>
  <c r="M22" i="50"/>
  <c r="L22" i="50"/>
  <c r="K22" i="50"/>
  <c r="J22" i="50"/>
  <c r="I22" i="50"/>
  <c r="H22" i="50"/>
  <c r="G22" i="50"/>
  <c r="F22" i="50"/>
  <c r="E22" i="50"/>
  <c r="D22" i="50"/>
  <c r="M21" i="50"/>
  <c r="J21" i="50"/>
  <c r="I21" i="50"/>
  <c r="H21" i="50"/>
  <c r="E21" i="50"/>
  <c r="M20" i="50"/>
  <c r="L20" i="50"/>
  <c r="K20" i="50"/>
  <c r="J20" i="50"/>
  <c r="I20" i="50"/>
  <c r="H20" i="50"/>
  <c r="G20" i="50"/>
  <c r="F20" i="50"/>
  <c r="E20" i="50"/>
  <c r="D20" i="50"/>
  <c r="M19" i="50"/>
  <c r="K19" i="50"/>
  <c r="J19" i="50"/>
  <c r="I19" i="50"/>
  <c r="H19" i="50"/>
  <c r="F19" i="50"/>
  <c r="E19" i="50"/>
  <c r="M18" i="50"/>
  <c r="L18" i="50"/>
  <c r="K18" i="50"/>
  <c r="J18" i="50"/>
  <c r="I18" i="50"/>
  <c r="H18" i="50"/>
  <c r="F18" i="50"/>
  <c r="D18" i="50"/>
  <c r="M17" i="50"/>
  <c r="L17" i="50"/>
  <c r="K17" i="50"/>
  <c r="J17" i="50"/>
  <c r="I17" i="50"/>
  <c r="H17" i="50"/>
  <c r="G17" i="50"/>
  <c r="F17" i="50"/>
  <c r="E17" i="50"/>
  <c r="D17" i="50"/>
  <c r="M16" i="50"/>
  <c r="L16" i="50"/>
  <c r="K16" i="50"/>
  <c r="J16" i="50"/>
  <c r="I16" i="50"/>
  <c r="H16" i="50"/>
  <c r="G16" i="50"/>
  <c r="F16" i="50"/>
  <c r="E16" i="50"/>
  <c r="D16" i="50"/>
  <c r="L13" i="50"/>
  <c r="K13" i="50"/>
  <c r="I6" i="50" s="1"/>
  <c r="J13" i="50"/>
  <c r="I13" i="50"/>
  <c r="H13" i="50"/>
  <c r="G6" i="50" s="1"/>
  <c r="G13" i="50"/>
  <c r="F13" i="50"/>
  <c r="E13" i="50"/>
  <c r="D13" i="50"/>
  <c r="E6" i="50" s="1"/>
  <c r="M6" i="50"/>
  <c r="F6" i="50"/>
  <c r="F3" i="50"/>
  <c r="C3" i="50"/>
  <c r="AF47" i="51" l="1"/>
  <c r="N47" i="51"/>
  <c r="AF22" i="51"/>
  <c r="N22" i="51"/>
  <c r="AF20" i="51"/>
  <c r="N20" i="51"/>
  <c r="AE65" i="51"/>
  <c r="AF65" i="51"/>
  <c r="N65" i="51"/>
  <c r="Q65" i="51" s="1"/>
  <c r="M68" i="51"/>
  <c r="AE62" i="51"/>
  <c r="N62" i="51"/>
  <c r="Q62" i="51" s="1"/>
  <c r="AE67" i="51"/>
  <c r="AF67" i="51"/>
  <c r="N67" i="51"/>
  <c r="Q67" i="51" s="1"/>
  <c r="AE21" i="51"/>
  <c r="AF21" i="51"/>
  <c r="N21" i="51"/>
  <c r="Q21" i="51" s="1"/>
  <c r="N66" i="51"/>
  <c r="AF66" i="51"/>
  <c r="AE66" i="51"/>
  <c r="AF9" i="53"/>
  <c r="AG5" i="53" s="1"/>
  <c r="AE9" i="53"/>
  <c r="N9" i="53"/>
  <c r="Y2" i="51"/>
  <c r="K6" i="50" s="1"/>
  <c r="N40" i="53"/>
  <c r="AF40" i="53"/>
  <c r="AG33" i="53" s="1"/>
  <c r="AE40" i="53"/>
  <c r="N64" i="51"/>
  <c r="Q50" i="53"/>
  <c r="P50" i="53"/>
  <c r="Q42" i="53"/>
  <c r="P42" i="53"/>
  <c r="Q28" i="53"/>
  <c r="N45" i="51"/>
  <c r="P48" i="51"/>
  <c r="Q37" i="53"/>
  <c r="P37" i="53"/>
  <c r="P51" i="53"/>
  <c r="N19" i="51"/>
  <c r="Q19" i="51" s="1"/>
  <c r="P21" i="53"/>
  <c r="AF55" i="53"/>
  <c r="AG47" i="53" s="1"/>
  <c r="N61" i="53"/>
  <c r="AF61" i="53"/>
  <c r="AG56" i="53" s="1"/>
  <c r="AE61" i="53"/>
  <c r="P43" i="53"/>
  <c r="Q43" i="53"/>
  <c r="Q39" i="53"/>
  <c r="P39" i="53"/>
  <c r="F1" i="51"/>
  <c r="F2" i="51" s="1"/>
  <c r="AE55" i="53"/>
  <c r="AE46" i="53"/>
  <c r="AF46" i="53"/>
  <c r="AG41" i="53" s="1"/>
  <c r="N18" i="53"/>
  <c r="AF18" i="53"/>
  <c r="AG14" i="53" s="1"/>
  <c r="AE18" i="53"/>
  <c r="Q24" i="53"/>
  <c r="P24" i="53"/>
  <c r="AF25" i="53"/>
  <c r="AG19" i="53" s="1"/>
  <c r="N25" i="53"/>
  <c r="Q10" i="53"/>
  <c r="P10" i="53"/>
  <c r="F8" i="58"/>
  <c r="E8" i="58"/>
  <c r="G8" i="58"/>
  <c r="D15" i="56"/>
  <c r="G7" i="56"/>
  <c r="F7" i="56"/>
  <c r="E7" i="56"/>
  <c r="K15" i="56"/>
  <c r="I8" i="56" s="1"/>
  <c r="I7" i="56"/>
  <c r="Q46" i="55"/>
  <c r="R41" i="55" s="1"/>
  <c r="P46" i="55"/>
  <c r="H14" i="54"/>
  <c r="H15" i="54" s="1"/>
  <c r="Q40" i="55"/>
  <c r="R33" i="55" s="1"/>
  <c r="P40" i="55"/>
  <c r="L14" i="54"/>
  <c r="L15" i="54" s="1"/>
  <c r="Q67" i="55"/>
  <c r="R61" i="55" s="1"/>
  <c r="M14" i="54"/>
  <c r="M15" i="54" s="1"/>
  <c r="P67" i="55"/>
  <c r="Q25" i="55"/>
  <c r="R19" i="55" s="1"/>
  <c r="P25" i="55"/>
  <c r="G14" i="54"/>
  <c r="G15" i="54" s="1"/>
  <c r="Q32" i="55"/>
  <c r="R26" i="55" s="1"/>
  <c r="P32" i="55"/>
  <c r="K14" i="54"/>
  <c r="E14" i="54"/>
  <c r="E15" i="54" s="1"/>
  <c r="Q13" i="55"/>
  <c r="R10" i="55" s="1"/>
  <c r="P13" i="55"/>
  <c r="Q18" i="55"/>
  <c r="R14" i="55" s="1"/>
  <c r="P18" i="55"/>
  <c r="F14" i="54"/>
  <c r="F15" i="54" s="1"/>
  <c r="Q60" i="55"/>
  <c r="R55" i="55" s="1"/>
  <c r="P60" i="55"/>
  <c r="J14" i="54"/>
  <c r="J15" i="54" s="1"/>
  <c r="D15" i="54"/>
  <c r="D2" i="55"/>
  <c r="I14" i="54"/>
  <c r="I15" i="54" s="1"/>
  <c r="P54" i="55"/>
  <c r="Q54" i="55"/>
  <c r="R47" i="55" s="1"/>
  <c r="Q55" i="53"/>
  <c r="R47" i="53" s="1"/>
  <c r="I14" i="52"/>
  <c r="I15" i="52" s="1"/>
  <c r="P55" i="53"/>
  <c r="H14" i="52"/>
  <c r="H15" i="52" s="1"/>
  <c r="Q46" i="53"/>
  <c r="R41" i="53" s="1"/>
  <c r="P46" i="53"/>
  <c r="Q32" i="53"/>
  <c r="R26" i="53" s="1"/>
  <c r="K14" i="52"/>
  <c r="P32" i="53"/>
  <c r="P68" i="53"/>
  <c r="M14" i="52"/>
  <c r="M15" i="52" s="1"/>
  <c r="Q68" i="53"/>
  <c r="R62" i="53" s="1"/>
  <c r="E14" i="52"/>
  <c r="Q13" i="53"/>
  <c r="R10" i="53" s="1"/>
  <c r="D2" i="53"/>
  <c r="P13" i="53"/>
  <c r="I3" i="50"/>
  <c r="N9" i="51"/>
  <c r="AF9" i="51"/>
  <c r="AG5" i="51" s="1"/>
  <c r="AF8" i="51"/>
  <c r="AE8" i="51"/>
  <c r="N8" i="51"/>
  <c r="N10" i="51"/>
  <c r="M13" i="51"/>
  <c r="AF13" i="51" s="1"/>
  <c r="AG10" i="51" s="1"/>
  <c r="AE10" i="51"/>
  <c r="N11" i="51"/>
  <c r="AF11" i="51"/>
  <c r="AE11" i="51"/>
  <c r="AF12" i="51"/>
  <c r="N12" i="51"/>
  <c r="N14" i="51"/>
  <c r="M18" i="51"/>
  <c r="N18" i="51" s="1"/>
  <c r="P18" i="51" s="1"/>
  <c r="AF14" i="51"/>
  <c r="AE14" i="51"/>
  <c r="N15" i="51"/>
  <c r="AF15" i="51"/>
  <c r="AE15" i="51"/>
  <c r="N16" i="51"/>
  <c r="AF16" i="51"/>
  <c r="AE16" i="51"/>
  <c r="N17" i="51"/>
  <c r="AF17" i="51"/>
  <c r="AE17" i="51"/>
  <c r="F14" i="50"/>
  <c r="F15" i="50" s="1"/>
  <c r="P19" i="51"/>
  <c r="Q20" i="51"/>
  <c r="P20" i="51"/>
  <c r="M31" i="51"/>
  <c r="AE31" i="51" s="1"/>
  <c r="AF25" i="51"/>
  <c r="AE25" i="51"/>
  <c r="N25" i="51"/>
  <c r="AF28" i="51"/>
  <c r="AE28" i="51"/>
  <c r="N28" i="51"/>
  <c r="AF29" i="51"/>
  <c r="AE29" i="51"/>
  <c r="N29" i="51"/>
  <c r="AF30" i="51"/>
  <c r="AE30" i="51"/>
  <c r="N30" i="51"/>
  <c r="N32" i="51"/>
  <c r="AF32" i="51"/>
  <c r="AE32" i="51"/>
  <c r="AF33" i="51"/>
  <c r="AE33" i="51"/>
  <c r="N33" i="51"/>
  <c r="AF34" i="51"/>
  <c r="N34" i="51"/>
  <c r="N35" i="51"/>
  <c r="AE35" i="51"/>
  <c r="N36" i="51"/>
  <c r="AF36" i="51"/>
  <c r="N37" i="51"/>
  <c r="AE37" i="51"/>
  <c r="N38" i="51"/>
  <c r="AF38" i="51"/>
  <c r="AE38" i="51"/>
  <c r="N39" i="51"/>
  <c r="AF39" i="51"/>
  <c r="AE39" i="51"/>
  <c r="N40" i="51"/>
  <c r="L14" i="50" s="1"/>
  <c r="L15" i="50" s="1"/>
  <c r="AF40" i="51"/>
  <c r="AG32" i="51" s="1"/>
  <c r="AE40" i="51"/>
  <c r="N41" i="51"/>
  <c r="AF41" i="51"/>
  <c r="M46" i="51"/>
  <c r="AE41" i="51"/>
  <c r="N42" i="51"/>
  <c r="AF42" i="51"/>
  <c r="AE42" i="51"/>
  <c r="N43" i="51"/>
  <c r="AF43" i="51"/>
  <c r="AE43" i="51"/>
  <c r="N44" i="51"/>
  <c r="AF44" i="51"/>
  <c r="AE44" i="51"/>
  <c r="Q45" i="51"/>
  <c r="P45" i="51"/>
  <c r="AF51" i="51"/>
  <c r="AE51" i="51"/>
  <c r="N51" i="51"/>
  <c r="AF52" i="51"/>
  <c r="N52" i="51"/>
  <c r="N53" i="51"/>
  <c r="AF53" i="51"/>
  <c r="AE53" i="51"/>
  <c r="AF54" i="51"/>
  <c r="N54" i="51"/>
  <c r="N56" i="51"/>
  <c r="AF56" i="51"/>
  <c r="M61" i="51"/>
  <c r="AE56" i="51"/>
  <c r="N57" i="51"/>
  <c r="AF57" i="51"/>
  <c r="AE57" i="51"/>
  <c r="N58" i="51"/>
  <c r="AF58" i="51"/>
  <c r="AE58" i="51"/>
  <c r="N59" i="51"/>
  <c r="AF59" i="51"/>
  <c r="AE59" i="51"/>
  <c r="N60" i="51"/>
  <c r="AF60" i="51"/>
  <c r="AE60" i="51"/>
  <c r="AF68" i="51"/>
  <c r="AG62" i="51" s="1"/>
  <c r="AE68" i="51"/>
  <c r="N68" i="51"/>
  <c r="M14" i="50" s="1"/>
  <c r="M15" i="50" s="1"/>
  <c r="N63" i="51"/>
  <c r="AF63" i="51"/>
  <c r="AE63" i="51"/>
  <c r="Q64" i="51"/>
  <c r="P64" i="51"/>
  <c r="AE19" i="51"/>
  <c r="AE20" i="51"/>
  <c r="M24" i="51"/>
  <c r="AE45" i="51"/>
  <c r="AE64" i="51"/>
  <c r="N7" i="51"/>
  <c r="N27" i="51"/>
  <c r="N50" i="51"/>
  <c r="AF62" i="51"/>
  <c r="N5" i="51"/>
  <c r="N6" i="51"/>
  <c r="N23" i="51"/>
  <c r="N26" i="51"/>
  <c r="N49" i="51"/>
  <c r="D21" i="50"/>
  <c r="P62" i="51"/>
  <c r="P65" i="51"/>
  <c r="AE7" i="51"/>
  <c r="AE27" i="51"/>
  <c r="AE50" i="51"/>
  <c r="AE5" i="51"/>
  <c r="AE6" i="51"/>
  <c r="AE23" i="51"/>
  <c r="AE26" i="51"/>
  <c r="AE49" i="51"/>
  <c r="M55" i="51"/>
  <c r="AF55" i="51" s="1"/>
  <c r="AG47" i="51" s="1"/>
  <c r="Z2" i="51"/>
  <c r="L6" i="50" s="1"/>
  <c r="AF5" i="51"/>
  <c r="AE22" i="51"/>
  <c r="AE47" i="51"/>
  <c r="AE48" i="51"/>
  <c r="AD71" i="49"/>
  <c r="Z71" i="49"/>
  <c r="Y71" i="49"/>
  <c r="O71" i="49"/>
  <c r="K71" i="49"/>
  <c r="M13" i="48" s="1"/>
  <c r="V70" i="49"/>
  <c r="U70" i="49"/>
  <c r="O70" i="49"/>
  <c r="M70" i="49"/>
  <c r="AE70" i="49" s="1"/>
  <c r="K70" i="49"/>
  <c r="G70" i="49"/>
  <c r="X69" i="49"/>
  <c r="W69" i="49"/>
  <c r="V69" i="49"/>
  <c r="M69" i="49" s="1"/>
  <c r="U69" i="49"/>
  <c r="O69" i="49"/>
  <c r="K69" i="49"/>
  <c r="G69" i="49"/>
  <c r="V68" i="49"/>
  <c r="M68" i="49" s="1"/>
  <c r="AE68" i="49" s="1"/>
  <c r="U68" i="49"/>
  <c r="O68" i="49"/>
  <c r="K68" i="49"/>
  <c r="G68" i="49"/>
  <c r="V67" i="49"/>
  <c r="U67" i="49"/>
  <c r="O67" i="49"/>
  <c r="M67" i="49"/>
  <c r="N67" i="49" s="1"/>
  <c r="K67" i="49"/>
  <c r="G67" i="49"/>
  <c r="V66" i="49"/>
  <c r="M66" i="49" s="1"/>
  <c r="U66" i="49"/>
  <c r="O66" i="49"/>
  <c r="K66" i="49"/>
  <c r="G66" i="49"/>
  <c r="X65" i="49"/>
  <c r="W65" i="49"/>
  <c r="V65" i="49"/>
  <c r="M65" i="49" s="1"/>
  <c r="O65" i="49"/>
  <c r="K65" i="49"/>
  <c r="G65" i="49"/>
  <c r="AD64" i="49"/>
  <c r="Z64" i="49"/>
  <c r="Y64" i="49"/>
  <c r="O64" i="49"/>
  <c r="K64" i="49"/>
  <c r="V63" i="49"/>
  <c r="M63" i="49" s="1"/>
  <c r="AE63" i="49" s="1"/>
  <c r="U63" i="49"/>
  <c r="O63" i="49"/>
  <c r="K63" i="49"/>
  <c r="G63" i="49"/>
  <c r="V62" i="49"/>
  <c r="M62" i="49" s="1"/>
  <c r="U62" i="49"/>
  <c r="O62" i="49"/>
  <c r="K62" i="49"/>
  <c r="G62" i="49"/>
  <c r="V61" i="49"/>
  <c r="M61" i="49" s="1"/>
  <c r="U61" i="49"/>
  <c r="O61" i="49"/>
  <c r="K61" i="49"/>
  <c r="G61" i="49"/>
  <c r="V60" i="49"/>
  <c r="M60" i="49" s="1"/>
  <c r="U60" i="49"/>
  <c r="O60" i="49"/>
  <c r="K60" i="49"/>
  <c r="G60" i="49"/>
  <c r="V59" i="49"/>
  <c r="M59" i="49" s="1"/>
  <c r="O59" i="49"/>
  <c r="K59" i="49"/>
  <c r="G59" i="49"/>
  <c r="AD58" i="49"/>
  <c r="I21" i="48" s="1"/>
  <c r="Z58" i="49"/>
  <c r="Y58" i="49"/>
  <c r="I18" i="48" s="1"/>
  <c r="O58" i="49"/>
  <c r="K58" i="49"/>
  <c r="V57" i="49"/>
  <c r="M57" i="49" s="1"/>
  <c r="U57" i="49"/>
  <c r="O57" i="49"/>
  <c r="K57" i="49"/>
  <c r="G57" i="49"/>
  <c r="X56" i="49"/>
  <c r="W56" i="49"/>
  <c r="V56" i="49"/>
  <c r="M56" i="49" s="1"/>
  <c r="U56" i="49"/>
  <c r="O56" i="49"/>
  <c r="K56" i="49"/>
  <c r="G56" i="49"/>
  <c r="V55" i="49"/>
  <c r="M55" i="49" s="1"/>
  <c r="U55" i="49"/>
  <c r="O55" i="49"/>
  <c r="K55" i="49"/>
  <c r="G55" i="49"/>
  <c r="V54" i="49"/>
  <c r="M54" i="49" s="1"/>
  <c r="U54" i="49"/>
  <c r="O54" i="49"/>
  <c r="K54" i="49"/>
  <c r="G54" i="49"/>
  <c r="V53" i="49"/>
  <c r="M53" i="49" s="1"/>
  <c r="U53" i="49"/>
  <c r="O53" i="49"/>
  <c r="K53" i="49"/>
  <c r="G53" i="49"/>
  <c r="V52" i="49"/>
  <c r="M52" i="49" s="1"/>
  <c r="AF52" i="49" s="1"/>
  <c r="U52" i="49"/>
  <c r="O52" i="49"/>
  <c r="K52" i="49"/>
  <c r="G52" i="49"/>
  <c r="V51" i="49"/>
  <c r="M51" i="49" s="1"/>
  <c r="AF51" i="49" s="1"/>
  <c r="U51" i="49"/>
  <c r="O51" i="49"/>
  <c r="K51" i="49"/>
  <c r="G51" i="49"/>
  <c r="V50" i="49"/>
  <c r="M50" i="49" s="1"/>
  <c r="AF50" i="49" s="1"/>
  <c r="O50" i="49"/>
  <c r="K50" i="49"/>
  <c r="G50" i="49"/>
  <c r="AD49" i="49"/>
  <c r="Z49" i="49"/>
  <c r="Y49" i="49"/>
  <c r="O49" i="49"/>
  <c r="K49" i="49"/>
  <c r="V48" i="49"/>
  <c r="U48" i="49"/>
  <c r="O48" i="49"/>
  <c r="M48" i="49"/>
  <c r="N48" i="49" s="1"/>
  <c r="K48" i="49"/>
  <c r="G48" i="49"/>
  <c r="V47" i="49"/>
  <c r="M47" i="49" s="1"/>
  <c r="U47" i="49"/>
  <c r="O47" i="49"/>
  <c r="K47" i="49"/>
  <c r="G47" i="49"/>
  <c r="V46" i="49"/>
  <c r="M46" i="49" s="1"/>
  <c r="U46" i="49"/>
  <c r="O46" i="49"/>
  <c r="K46" i="49"/>
  <c r="G46" i="49"/>
  <c r="V45" i="49"/>
  <c r="M45" i="49" s="1"/>
  <c r="U45" i="49"/>
  <c r="O45" i="49"/>
  <c r="K45" i="49"/>
  <c r="G45" i="49"/>
  <c r="X44" i="49"/>
  <c r="W44" i="49"/>
  <c r="V44" i="49"/>
  <c r="M44" i="49" s="1"/>
  <c r="O44" i="49"/>
  <c r="K44" i="49"/>
  <c r="G44" i="49"/>
  <c r="AD43" i="49"/>
  <c r="Z43" i="49"/>
  <c r="L19" i="48" s="1"/>
  <c r="Y43" i="49"/>
  <c r="O43" i="49"/>
  <c r="K43" i="49"/>
  <c r="V42" i="49"/>
  <c r="M42" i="49" s="1"/>
  <c r="U42" i="49"/>
  <c r="O42" i="49"/>
  <c r="K42" i="49"/>
  <c r="G42" i="49"/>
  <c r="V41" i="49"/>
  <c r="M41" i="49" s="1"/>
  <c r="U41" i="49"/>
  <c r="O41" i="49"/>
  <c r="K41" i="49"/>
  <c r="G41" i="49"/>
  <c r="V40" i="49"/>
  <c r="M40" i="49" s="1"/>
  <c r="U40" i="49"/>
  <c r="O40" i="49"/>
  <c r="K40" i="49"/>
  <c r="G40" i="49"/>
  <c r="X39" i="49"/>
  <c r="W39" i="49"/>
  <c r="V39" i="49"/>
  <c r="M39" i="49" s="1"/>
  <c r="U39" i="49"/>
  <c r="O39" i="49"/>
  <c r="K39" i="49"/>
  <c r="G39" i="49"/>
  <c r="V38" i="49"/>
  <c r="M38" i="49" s="1"/>
  <c r="U38" i="49"/>
  <c r="O38" i="49"/>
  <c r="K38" i="49"/>
  <c r="G38" i="49"/>
  <c r="V37" i="49"/>
  <c r="M37" i="49" s="1"/>
  <c r="U37" i="49"/>
  <c r="O37" i="49"/>
  <c r="K37" i="49"/>
  <c r="G37" i="49"/>
  <c r="V36" i="49"/>
  <c r="U36" i="49"/>
  <c r="O36" i="49"/>
  <c r="M36" i="49"/>
  <c r="AF36" i="49" s="1"/>
  <c r="K36" i="49"/>
  <c r="G36" i="49"/>
  <c r="X35" i="49"/>
  <c r="W35" i="49"/>
  <c r="V35" i="49"/>
  <c r="M35" i="49" s="1"/>
  <c r="O35" i="49"/>
  <c r="K35" i="49"/>
  <c r="G35" i="49"/>
  <c r="AD34" i="49"/>
  <c r="Z34" i="49"/>
  <c r="K19" i="48" s="1"/>
  <c r="Y34" i="49"/>
  <c r="K18" i="48" s="1"/>
  <c r="O34" i="49"/>
  <c r="K34" i="49"/>
  <c r="V33" i="49"/>
  <c r="M33" i="49" s="1"/>
  <c r="U33" i="49"/>
  <c r="O33" i="49"/>
  <c r="K33" i="49"/>
  <c r="G33" i="49"/>
  <c r="V32" i="49"/>
  <c r="U32" i="49"/>
  <c r="O32" i="49"/>
  <c r="M32" i="49"/>
  <c r="K32" i="49"/>
  <c r="G32" i="49"/>
  <c r="X31" i="49"/>
  <c r="W31" i="49"/>
  <c r="V31" i="49"/>
  <c r="U31" i="49"/>
  <c r="O31" i="49"/>
  <c r="M31" i="49"/>
  <c r="AF31" i="49" s="1"/>
  <c r="K31" i="49"/>
  <c r="G31" i="49"/>
  <c r="V30" i="49"/>
  <c r="M30" i="49" s="1"/>
  <c r="U30" i="49"/>
  <c r="O30" i="49"/>
  <c r="K30" i="49"/>
  <c r="G30" i="49"/>
  <c r="V29" i="49"/>
  <c r="M29" i="49" s="1"/>
  <c r="AF29" i="49" s="1"/>
  <c r="U29" i="49"/>
  <c r="O29" i="49"/>
  <c r="K29" i="49"/>
  <c r="G29" i="49"/>
  <c r="V28" i="49"/>
  <c r="U28" i="49"/>
  <c r="O28" i="49"/>
  <c r="M28" i="49"/>
  <c r="AF28" i="49" s="1"/>
  <c r="K28" i="49"/>
  <c r="G28" i="49"/>
  <c r="X27" i="49"/>
  <c r="W27" i="49"/>
  <c r="V27" i="49"/>
  <c r="M27" i="49" s="1"/>
  <c r="O27" i="49"/>
  <c r="K27" i="49"/>
  <c r="G27" i="49"/>
  <c r="AD26" i="49"/>
  <c r="Z26" i="49"/>
  <c r="Y26" i="49"/>
  <c r="O26" i="49"/>
  <c r="K26" i="49"/>
  <c r="V25" i="49"/>
  <c r="U25" i="49"/>
  <c r="O25" i="49"/>
  <c r="M25" i="49"/>
  <c r="AF25" i="49" s="1"/>
  <c r="K25" i="49"/>
  <c r="G25" i="49"/>
  <c r="X24" i="49"/>
  <c r="W24" i="49"/>
  <c r="V24" i="49"/>
  <c r="M24" i="49" s="1"/>
  <c r="AE24" i="49" s="1"/>
  <c r="U24" i="49"/>
  <c r="O24" i="49"/>
  <c r="K24" i="49"/>
  <c r="G24" i="49"/>
  <c r="V23" i="49"/>
  <c r="U23" i="49"/>
  <c r="O23" i="49"/>
  <c r="M23" i="49"/>
  <c r="AF23" i="49" s="1"/>
  <c r="K23" i="49"/>
  <c r="G23" i="49"/>
  <c r="V22" i="49"/>
  <c r="U22" i="49"/>
  <c r="O22" i="49"/>
  <c r="M22" i="49"/>
  <c r="AE22" i="49" s="1"/>
  <c r="K22" i="49"/>
  <c r="G22" i="49"/>
  <c r="V21" i="49"/>
  <c r="M21" i="49" s="1"/>
  <c r="U21" i="49"/>
  <c r="O21" i="49"/>
  <c r="K21" i="49"/>
  <c r="G21" i="49"/>
  <c r="V20" i="49"/>
  <c r="M20" i="49" s="1"/>
  <c r="O20" i="49"/>
  <c r="K20" i="49"/>
  <c r="G20" i="49"/>
  <c r="AD19" i="49"/>
  <c r="F21" i="48" s="1"/>
  <c r="Z19" i="49"/>
  <c r="Y19" i="49"/>
  <c r="O19" i="49"/>
  <c r="K19" i="49"/>
  <c r="V18" i="49"/>
  <c r="M18" i="49" s="1"/>
  <c r="U18" i="49"/>
  <c r="O18" i="49"/>
  <c r="K18" i="49"/>
  <c r="G18" i="49"/>
  <c r="X17" i="49"/>
  <c r="W17" i="49"/>
  <c r="V17" i="49"/>
  <c r="M17" i="49" s="1"/>
  <c r="U17" i="49"/>
  <c r="O17" i="49"/>
  <c r="K17" i="49"/>
  <c r="G17" i="49"/>
  <c r="V16" i="49"/>
  <c r="M16" i="49" s="1"/>
  <c r="U16" i="49"/>
  <c r="O16" i="49"/>
  <c r="K16" i="49"/>
  <c r="G16" i="49"/>
  <c r="V15" i="49"/>
  <c r="M15" i="49" s="1"/>
  <c r="U15" i="49"/>
  <c r="O15" i="49"/>
  <c r="K15" i="49"/>
  <c r="G15" i="49"/>
  <c r="V14" i="49"/>
  <c r="M14" i="49" s="1"/>
  <c r="O14" i="49"/>
  <c r="K14" i="49"/>
  <c r="G14" i="49"/>
  <c r="AD13" i="49"/>
  <c r="E21" i="48" s="1"/>
  <c r="Z13" i="49"/>
  <c r="E19" i="48" s="1"/>
  <c r="Y13" i="49"/>
  <c r="O13" i="49"/>
  <c r="K13" i="49"/>
  <c r="V12" i="49"/>
  <c r="M12" i="49" s="1"/>
  <c r="U12" i="49"/>
  <c r="O12" i="49"/>
  <c r="K12" i="49"/>
  <c r="G12" i="49"/>
  <c r="X11" i="49"/>
  <c r="W11" i="49"/>
  <c r="V11" i="49"/>
  <c r="M11" i="49" s="1"/>
  <c r="U11" i="49"/>
  <c r="O11" i="49"/>
  <c r="K11" i="49"/>
  <c r="G11" i="49"/>
  <c r="V10" i="49"/>
  <c r="M10" i="49" s="1"/>
  <c r="O10" i="49"/>
  <c r="K10" i="49"/>
  <c r="G10" i="49"/>
  <c r="AD9" i="49"/>
  <c r="Z9" i="49"/>
  <c r="D19" i="48" s="1"/>
  <c r="Y9" i="49"/>
  <c r="O9" i="49"/>
  <c r="K9" i="49"/>
  <c r="V8" i="49"/>
  <c r="M8" i="49" s="1"/>
  <c r="U8" i="49"/>
  <c r="O8" i="49"/>
  <c r="K8" i="49"/>
  <c r="G8" i="49"/>
  <c r="V7" i="49"/>
  <c r="M7" i="49" s="1"/>
  <c r="U7" i="49"/>
  <c r="O7" i="49"/>
  <c r="K7" i="49"/>
  <c r="G7" i="49"/>
  <c r="V6" i="49"/>
  <c r="U6" i="49"/>
  <c r="O6" i="49"/>
  <c r="M6" i="49"/>
  <c r="K6" i="49"/>
  <c r="G6" i="49"/>
  <c r="V5" i="49"/>
  <c r="O5" i="49"/>
  <c r="M5" i="49"/>
  <c r="K5" i="49"/>
  <c r="G5" i="49"/>
  <c r="H2" i="49"/>
  <c r="H1" i="49"/>
  <c r="D1" i="49"/>
  <c r="F3" i="48" s="1"/>
  <c r="M22" i="48"/>
  <c r="L22" i="48"/>
  <c r="K22" i="48"/>
  <c r="J22" i="48"/>
  <c r="I22" i="48"/>
  <c r="H22" i="48"/>
  <c r="G22" i="48"/>
  <c r="F22" i="48"/>
  <c r="E22" i="48"/>
  <c r="D22" i="48"/>
  <c r="M21" i="48"/>
  <c r="L21" i="48"/>
  <c r="K21" i="48"/>
  <c r="J21" i="48"/>
  <c r="H21" i="48"/>
  <c r="G21" i="48"/>
  <c r="M20" i="48"/>
  <c r="L20" i="48"/>
  <c r="K20" i="48"/>
  <c r="J20" i="48"/>
  <c r="I20" i="48"/>
  <c r="H20" i="48"/>
  <c r="G20" i="48"/>
  <c r="F20" i="48"/>
  <c r="E20" i="48"/>
  <c r="D20" i="48"/>
  <c r="M19" i="48"/>
  <c r="J19" i="48"/>
  <c r="I19" i="48"/>
  <c r="H19" i="48"/>
  <c r="G19" i="48"/>
  <c r="F19" i="48"/>
  <c r="M18" i="48"/>
  <c r="L18" i="48"/>
  <c r="J18" i="48"/>
  <c r="H18" i="48"/>
  <c r="G18" i="48"/>
  <c r="F18" i="48"/>
  <c r="E18" i="48"/>
  <c r="M17" i="48"/>
  <c r="L17" i="48"/>
  <c r="K17" i="48"/>
  <c r="J17" i="48"/>
  <c r="I17" i="48"/>
  <c r="H17" i="48"/>
  <c r="G17" i="48"/>
  <c r="F17" i="48"/>
  <c r="E17" i="48"/>
  <c r="D17" i="48"/>
  <c r="M16" i="48"/>
  <c r="L16" i="48"/>
  <c r="K16" i="48"/>
  <c r="J16" i="48"/>
  <c r="I16" i="48"/>
  <c r="H16" i="48"/>
  <c r="G16" i="48"/>
  <c r="F16" i="48"/>
  <c r="E16" i="48"/>
  <c r="D16" i="48"/>
  <c r="L13" i="48"/>
  <c r="K13" i="48"/>
  <c r="I6" i="48" s="1"/>
  <c r="J13" i="48"/>
  <c r="I13" i="48"/>
  <c r="H13" i="48"/>
  <c r="G13" i="48"/>
  <c r="F13" i="48"/>
  <c r="E13" i="48"/>
  <c r="D13" i="48"/>
  <c r="M6" i="48"/>
  <c r="C3" i="48"/>
  <c r="N21" i="49" l="1"/>
  <c r="AF21" i="49"/>
  <c r="AE21" i="49"/>
  <c r="N69" i="49"/>
  <c r="AF69" i="49"/>
  <c r="AF54" i="49"/>
  <c r="N54" i="49"/>
  <c r="N65" i="49"/>
  <c r="AF65" i="49"/>
  <c r="AE65" i="49"/>
  <c r="AF7" i="49"/>
  <c r="N7" i="49"/>
  <c r="AF33" i="49"/>
  <c r="N33" i="49"/>
  <c r="N20" i="49"/>
  <c r="AF20" i="49"/>
  <c r="AE20" i="49"/>
  <c r="M26" i="49"/>
  <c r="P25" i="53"/>
  <c r="G14" i="52"/>
  <c r="G15" i="52" s="1"/>
  <c r="Q25" i="53"/>
  <c r="R19" i="53" s="1"/>
  <c r="Q66" i="51"/>
  <c r="P66" i="51"/>
  <c r="AE67" i="49"/>
  <c r="F14" i="52"/>
  <c r="F15" i="52" s="1"/>
  <c r="Q18" i="53"/>
  <c r="R14" i="53" s="1"/>
  <c r="P18" i="53"/>
  <c r="AF67" i="49"/>
  <c r="P67" i="51"/>
  <c r="AD2" i="49"/>
  <c r="N6" i="48" s="1"/>
  <c r="N36" i="49"/>
  <c r="P21" i="51"/>
  <c r="L14" i="52"/>
  <c r="L15" i="52" s="1"/>
  <c r="Q40" i="53"/>
  <c r="R33" i="53" s="1"/>
  <c r="P40" i="53"/>
  <c r="D14" i="52"/>
  <c r="D15" i="52" s="1"/>
  <c r="Q9" i="53"/>
  <c r="R5" i="53" s="1"/>
  <c r="P9" i="53"/>
  <c r="Q22" i="51"/>
  <c r="P22" i="51"/>
  <c r="N31" i="49"/>
  <c r="Q61" i="53"/>
  <c r="R56" i="53" s="1"/>
  <c r="P61" i="53"/>
  <c r="J14" i="52"/>
  <c r="J15" i="52" s="1"/>
  <c r="AE48" i="49"/>
  <c r="Q47" i="51"/>
  <c r="P47" i="51"/>
  <c r="AF48" i="49"/>
  <c r="G8" i="56"/>
  <c r="F8" i="56"/>
  <c r="E8" i="56"/>
  <c r="E7" i="54"/>
  <c r="F7" i="54"/>
  <c r="G7" i="54"/>
  <c r="K15" i="54"/>
  <c r="I8" i="54" s="1"/>
  <c r="I7" i="54"/>
  <c r="G8" i="54"/>
  <c r="F8" i="54"/>
  <c r="E8" i="54"/>
  <c r="I7" i="52"/>
  <c r="K15" i="52"/>
  <c r="E15" i="52"/>
  <c r="F7" i="52"/>
  <c r="E7" i="52"/>
  <c r="P6" i="51"/>
  <c r="Q6" i="51"/>
  <c r="P5" i="51"/>
  <c r="Q5" i="51"/>
  <c r="Q18" i="51"/>
  <c r="R14" i="51" s="1"/>
  <c r="P49" i="51"/>
  <c r="Q49" i="51"/>
  <c r="P26" i="51"/>
  <c r="Q26" i="51"/>
  <c r="P23" i="51"/>
  <c r="Q23" i="51"/>
  <c r="N55" i="51"/>
  <c r="AE55" i="51"/>
  <c r="Q50" i="51"/>
  <c r="P50" i="51"/>
  <c r="Q27" i="51"/>
  <c r="P27" i="51"/>
  <c r="Q7" i="51"/>
  <c r="P7" i="51"/>
  <c r="AF24" i="51"/>
  <c r="AG19" i="51" s="1"/>
  <c r="AE24" i="51"/>
  <c r="N24" i="51"/>
  <c r="Q63" i="51"/>
  <c r="P63" i="51"/>
  <c r="Q68" i="51"/>
  <c r="R62" i="51" s="1"/>
  <c r="P68" i="51"/>
  <c r="Q60" i="51"/>
  <c r="P60" i="51"/>
  <c r="Q59" i="51"/>
  <c r="P59" i="51"/>
  <c r="P58" i="51"/>
  <c r="Q58" i="51"/>
  <c r="Q57" i="51"/>
  <c r="P57" i="51"/>
  <c r="N61" i="51"/>
  <c r="J14" i="50" s="1"/>
  <c r="J15" i="50" s="1"/>
  <c r="AF61" i="51"/>
  <c r="AG56" i="51" s="1"/>
  <c r="AE61" i="51"/>
  <c r="Q56" i="51"/>
  <c r="P56" i="51"/>
  <c r="Q54" i="51"/>
  <c r="P54" i="51"/>
  <c r="Q53" i="51"/>
  <c r="P53" i="51"/>
  <c r="Q52" i="51"/>
  <c r="P52" i="51"/>
  <c r="Q51" i="51"/>
  <c r="P51" i="51"/>
  <c r="Q44" i="51"/>
  <c r="P44" i="51"/>
  <c r="Q43" i="51"/>
  <c r="P43" i="51"/>
  <c r="P42" i="51"/>
  <c r="Q42" i="51"/>
  <c r="AE46" i="51"/>
  <c r="N46" i="51"/>
  <c r="P46" i="51" s="1"/>
  <c r="AF46" i="51"/>
  <c r="AG41" i="51" s="1"/>
  <c r="Q41" i="51"/>
  <c r="P41" i="51"/>
  <c r="Q40" i="51"/>
  <c r="R32" i="51" s="1"/>
  <c r="P40" i="51"/>
  <c r="P39" i="51"/>
  <c r="Q39" i="51"/>
  <c r="Q38" i="51"/>
  <c r="P38" i="51"/>
  <c r="Q37" i="51"/>
  <c r="P37" i="51"/>
  <c r="Q36" i="51"/>
  <c r="P36" i="51"/>
  <c r="Q35" i="51"/>
  <c r="P35" i="51"/>
  <c r="Q34" i="51"/>
  <c r="P34" i="51"/>
  <c r="Q33" i="51"/>
  <c r="P33" i="51"/>
  <c r="Q32" i="51"/>
  <c r="P32" i="51"/>
  <c r="Q30" i="51"/>
  <c r="P30" i="51"/>
  <c r="Q29" i="51"/>
  <c r="P29" i="51"/>
  <c r="Q28" i="51"/>
  <c r="P28" i="51"/>
  <c r="Q25" i="51"/>
  <c r="P25" i="51"/>
  <c r="N31" i="51"/>
  <c r="K14" i="50" s="1"/>
  <c r="AF31" i="51"/>
  <c r="AG25" i="51" s="1"/>
  <c r="Q17" i="51"/>
  <c r="P17" i="51"/>
  <c r="P16" i="51"/>
  <c r="Q16" i="51"/>
  <c r="Q15" i="51"/>
  <c r="P15" i="51"/>
  <c r="AF18" i="51"/>
  <c r="AG14" i="51" s="1"/>
  <c r="AE18" i="51"/>
  <c r="Q14" i="51"/>
  <c r="P14" i="51"/>
  <c r="Q12" i="51"/>
  <c r="P12" i="51"/>
  <c r="Q11" i="51"/>
  <c r="P11" i="51"/>
  <c r="N13" i="51"/>
  <c r="AE13" i="51"/>
  <c r="Q10" i="51"/>
  <c r="P10" i="51"/>
  <c r="Q8" i="51"/>
  <c r="P8" i="51"/>
  <c r="Q9" i="51"/>
  <c r="R5" i="51" s="1"/>
  <c r="P9" i="51"/>
  <c r="D14" i="50"/>
  <c r="AF6" i="49"/>
  <c r="AE6" i="49"/>
  <c r="AF27" i="49"/>
  <c r="M34" i="49"/>
  <c r="AE27" i="49"/>
  <c r="N27" i="49"/>
  <c r="Q36" i="49"/>
  <c r="P36" i="49"/>
  <c r="N44" i="49"/>
  <c r="AF44" i="49"/>
  <c r="M49" i="49"/>
  <c r="AE44" i="49"/>
  <c r="N46" i="49"/>
  <c r="AF46" i="49"/>
  <c r="AE46" i="49"/>
  <c r="N56" i="49"/>
  <c r="AF56" i="49"/>
  <c r="AE56" i="49"/>
  <c r="N60" i="49"/>
  <c r="AF60" i="49"/>
  <c r="AE60" i="49"/>
  <c r="N66" i="49"/>
  <c r="M71" i="49"/>
  <c r="AF66" i="49"/>
  <c r="N6" i="49"/>
  <c r="Q65" i="49"/>
  <c r="P65" i="49"/>
  <c r="AE66" i="49"/>
  <c r="Q20" i="49"/>
  <c r="P20" i="49"/>
  <c r="F1" i="49"/>
  <c r="Q31" i="49"/>
  <c r="P31" i="49"/>
  <c r="N38" i="49"/>
  <c r="AF38" i="49"/>
  <c r="AE38" i="49"/>
  <c r="AF8" i="49"/>
  <c r="AE8" i="49"/>
  <c r="N8" i="49"/>
  <c r="N10" i="49"/>
  <c r="M13" i="49"/>
  <c r="AF10" i="49"/>
  <c r="AE10" i="49"/>
  <c r="AF26" i="49"/>
  <c r="AG20" i="49" s="1"/>
  <c r="AE26" i="49"/>
  <c r="N26" i="49"/>
  <c r="Q33" i="49"/>
  <c r="P33" i="49"/>
  <c r="N40" i="49"/>
  <c r="AF40" i="49"/>
  <c r="AE40" i="49"/>
  <c r="Q67" i="49"/>
  <c r="P67" i="49"/>
  <c r="M9" i="49"/>
  <c r="AF5" i="49"/>
  <c r="AE5" i="49"/>
  <c r="N14" i="49"/>
  <c r="M19" i="49"/>
  <c r="AF14" i="49"/>
  <c r="AE14" i="49"/>
  <c r="N47" i="49"/>
  <c r="AF47" i="49"/>
  <c r="N61" i="49"/>
  <c r="AF61" i="49"/>
  <c r="AE61" i="49"/>
  <c r="N16" i="49"/>
  <c r="AF16" i="49"/>
  <c r="AE16" i="49"/>
  <c r="N18" i="49"/>
  <c r="AF18" i="49"/>
  <c r="AE18" i="49"/>
  <c r="N42" i="49"/>
  <c r="AF42" i="49"/>
  <c r="AE42" i="49"/>
  <c r="AF53" i="49"/>
  <c r="AE53" i="49"/>
  <c r="N53" i="49"/>
  <c r="N63" i="49"/>
  <c r="AF63" i="49"/>
  <c r="N5" i="49"/>
  <c r="AF30" i="49"/>
  <c r="AE30" i="49"/>
  <c r="N30" i="49"/>
  <c r="N35" i="49"/>
  <c r="AF35" i="49"/>
  <c r="AE35" i="49"/>
  <c r="M43" i="49"/>
  <c r="AE47" i="49"/>
  <c r="AF55" i="49"/>
  <c r="AE55" i="49"/>
  <c r="N55" i="49"/>
  <c r="N59" i="49"/>
  <c r="AF59" i="49"/>
  <c r="M64" i="49"/>
  <c r="AE59" i="49"/>
  <c r="Q69" i="49"/>
  <c r="P69" i="49"/>
  <c r="N45" i="49"/>
  <c r="AF45" i="49"/>
  <c r="AE45" i="49"/>
  <c r="AF57" i="49"/>
  <c r="AE57" i="49"/>
  <c r="N57" i="49"/>
  <c r="G6" i="48"/>
  <c r="F6" i="48"/>
  <c r="E6" i="48"/>
  <c r="Q7" i="49"/>
  <c r="P7" i="49"/>
  <c r="N12" i="49"/>
  <c r="AF12" i="49"/>
  <c r="AE12" i="49"/>
  <c r="Q21" i="49"/>
  <c r="P21" i="49"/>
  <c r="Y2" i="49"/>
  <c r="K6" i="48" s="1"/>
  <c r="D18" i="48"/>
  <c r="N17" i="49"/>
  <c r="AF17" i="49"/>
  <c r="AE17" i="49"/>
  <c r="AF37" i="49"/>
  <c r="AE37" i="49"/>
  <c r="N37" i="49"/>
  <c r="N39" i="49"/>
  <c r="AF39" i="49"/>
  <c r="AE39" i="49"/>
  <c r="AF32" i="49"/>
  <c r="AE32" i="49"/>
  <c r="N32" i="49"/>
  <c r="Q48" i="49"/>
  <c r="P48" i="49"/>
  <c r="N11" i="49"/>
  <c r="AF11" i="49"/>
  <c r="AE11" i="49"/>
  <c r="N15" i="49"/>
  <c r="AF15" i="49"/>
  <c r="AE15" i="49"/>
  <c r="N41" i="49"/>
  <c r="AF41" i="49"/>
  <c r="AE41" i="49"/>
  <c r="Q54" i="49"/>
  <c r="P54" i="49"/>
  <c r="N62" i="49"/>
  <c r="AF62" i="49"/>
  <c r="AE62" i="49"/>
  <c r="AF22" i="49"/>
  <c r="AF24" i="49"/>
  <c r="AF68" i="49"/>
  <c r="AE69" i="49"/>
  <c r="AF70" i="49"/>
  <c r="N24" i="49"/>
  <c r="N29" i="49"/>
  <c r="N52" i="49"/>
  <c r="N23" i="49"/>
  <c r="N25" i="49"/>
  <c r="N28" i="49"/>
  <c r="N50" i="49"/>
  <c r="N51" i="49"/>
  <c r="N22" i="49"/>
  <c r="N68" i="49"/>
  <c r="N70" i="49"/>
  <c r="D21" i="48"/>
  <c r="AE7" i="49"/>
  <c r="AE33" i="49"/>
  <c r="AE36" i="49"/>
  <c r="AE54" i="49"/>
  <c r="Z2" i="49"/>
  <c r="L6" i="48" s="1"/>
  <c r="AE29" i="49"/>
  <c r="AE31" i="49"/>
  <c r="AE52" i="49"/>
  <c r="M58" i="49"/>
  <c r="AE23" i="49"/>
  <c r="AE25" i="49"/>
  <c r="AE28" i="49"/>
  <c r="AE50" i="49"/>
  <c r="AE51" i="49"/>
  <c r="AD61" i="47"/>
  <c r="M21" i="46" s="1"/>
  <c r="Z61" i="47"/>
  <c r="Y61" i="47"/>
  <c r="O61" i="47"/>
  <c r="K61" i="47"/>
  <c r="AF60" i="47"/>
  <c r="V60" i="47"/>
  <c r="U60" i="47"/>
  <c r="O60" i="47"/>
  <c r="M60" i="47"/>
  <c r="AE60" i="47" s="1"/>
  <c r="K60" i="47"/>
  <c r="G60" i="47"/>
  <c r="V59" i="47"/>
  <c r="M59" i="47" s="1"/>
  <c r="U59" i="47"/>
  <c r="O59" i="47"/>
  <c r="K59" i="47"/>
  <c r="G59" i="47"/>
  <c r="V58" i="47"/>
  <c r="M58" i="47" s="1"/>
  <c r="U58" i="47"/>
  <c r="O58" i="47"/>
  <c r="K58" i="47"/>
  <c r="G58" i="47"/>
  <c r="V57" i="47"/>
  <c r="M57" i="47" s="1"/>
  <c r="U57" i="47"/>
  <c r="O57" i="47"/>
  <c r="K57" i="47"/>
  <c r="G57" i="47"/>
  <c r="X56" i="47"/>
  <c r="W56" i="47"/>
  <c r="V56" i="47"/>
  <c r="O56" i="47"/>
  <c r="M56" i="47"/>
  <c r="N56" i="47" s="1"/>
  <c r="K56" i="47"/>
  <c r="G56" i="47"/>
  <c r="AD55" i="47"/>
  <c r="J21" i="46" s="1"/>
  <c r="Z55" i="47"/>
  <c r="Y55" i="47"/>
  <c r="O55" i="47"/>
  <c r="K55" i="47"/>
  <c r="V54" i="47"/>
  <c r="M54" i="47" s="1"/>
  <c r="U54" i="47"/>
  <c r="O54" i="47"/>
  <c r="K54" i="47"/>
  <c r="G54" i="47"/>
  <c r="V53" i="47"/>
  <c r="M53" i="47" s="1"/>
  <c r="U53" i="47"/>
  <c r="O53" i="47"/>
  <c r="K53" i="47"/>
  <c r="G53" i="47"/>
  <c r="V52" i="47"/>
  <c r="M52" i="47" s="1"/>
  <c r="O52" i="47"/>
  <c r="K52" i="47"/>
  <c r="G52" i="47"/>
  <c r="AD51" i="47"/>
  <c r="Z51" i="47"/>
  <c r="Y51" i="47"/>
  <c r="O51" i="47"/>
  <c r="K51" i="47"/>
  <c r="V50" i="47"/>
  <c r="M50" i="47" s="1"/>
  <c r="U50" i="47"/>
  <c r="O50" i="47"/>
  <c r="K50" i="47"/>
  <c r="G50" i="47"/>
  <c r="V49" i="47"/>
  <c r="M49" i="47" s="1"/>
  <c r="U49" i="47"/>
  <c r="O49" i="47"/>
  <c r="K49" i="47"/>
  <c r="G49" i="47"/>
  <c r="V48" i="47"/>
  <c r="U48" i="47"/>
  <c r="O48" i="47"/>
  <c r="M48" i="47"/>
  <c r="AF48" i="47" s="1"/>
  <c r="K48" i="47"/>
  <c r="G48" i="47"/>
  <c r="V47" i="47"/>
  <c r="U47" i="47"/>
  <c r="O47" i="47"/>
  <c r="M47" i="47"/>
  <c r="AF47" i="47" s="1"/>
  <c r="K47" i="47"/>
  <c r="G47" i="47"/>
  <c r="V46" i="47"/>
  <c r="M46" i="47" s="1"/>
  <c r="U46" i="47"/>
  <c r="O46" i="47"/>
  <c r="K46" i="47"/>
  <c r="G46" i="47"/>
  <c r="V45" i="47"/>
  <c r="M45" i="47" s="1"/>
  <c r="AF45" i="47" s="1"/>
  <c r="U45" i="47"/>
  <c r="O45" i="47"/>
  <c r="K45" i="47"/>
  <c r="G45" i="47"/>
  <c r="V44" i="47"/>
  <c r="O44" i="47"/>
  <c r="M44" i="47"/>
  <c r="AF44" i="47" s="1"/>
  <c r="K44" i="47"/>
  <c r="G44" i="47"/>
  <c r="AD43" i="47"/>
  <c r="Z43" i="47"/>
  <c r="Y43" i="47"/>
  <c r="O43" i="47"/>
  <c r="K43" i="47"/>
  <c r="AF42" i="47"/>
  <c r="V42" i="47"/>
  <c r="U42" i="47"/>
  <c r="O42" i="47"/>
  <c r="M42" i="47"/>
  <c r="N42" i="47" s="1"/>
  <c r="K42" i="47"/>
  <c r="G42" i="47"/>
  <c r="V41" i="47"/>
  <c r="M41" i="47" s="1"/>
  <c r="U41" i="47"/>
  <c r="O41" i="47"/>
  <c r="K41" i="47"/>
  <c r="G41" i="47"/>
  <c r="V40" i="47"/>
  <c r="M40" i="47" s="1"/>
  <c r="U40" i="47"/>
  <c r="O40" i="47"/>
  <c r="K40" i="47"/>
  <c r="G40" i="47"/>
  <c r="V39" i="47"/>
  <c r="M39" i="47" s="1"/>
  <c r="U39" i="47"/>
  <c r="O39" i="47"/>
  <c r="K39" i="47"/>
  <c r="G39" i="47"/>
  <c r="V38" i="47"/>
  <c r="M38" i="47" s="1"/>
  <c r="U38" i="47"/>
  <c r="O38" i="47"/>
  <c r="K38" i="47"/>
  <c r="G38" i="47"/>
  <c r="X37" i="47"/>
  <c r="W37" i="47"/>
  <c r="V37" i="47"/>
  <c r="M37" i="47" s="1"/>
  <c r="U37" i="47"/>
  <c r="O37" i="47"/>
  <c r="K37" i="47"/>
  <c r="G37" i="47"/>
  <c r="V36" i="47"/>
  <c r="M36" i="47" s="1"/>
  <c r="O36" i="47"/>
  <c r="K36" i="47"/>
  <c r="G36" i="47"/>
  <c r="AD35" i="47"/>
  <c r="Z35" i="47"/>
  <c r="Y35" i="47"/>
  <c r="O35" i="47"/>
  <c r="K35" i="47"/>
  <c r="V34" i="47"/>
  <c r="M34" i="47" s="1"/>
  <c r="U34" i="47"/>
  <c r="O34" i="47"/>
  <c r="K34" i="47"/>
  <c r="G34" i="47"/>
  <c r="V33" i="47"/>
  <c r="M33" i="47" s="1"/>
  <c r="U33" i="47"/>
  <c r="O33" i="47"/>
  <c r="K33" i="47"/>
  <c r="G33" i="47"/>
  <c r="V32" i="47"/>
  <c r="U32" i="47"/>
  <c r="O32" i="47"/>
  <c r="M32" i="47"/>
  <c r="AF32" i="47" s="1"/>
  <c r="K32" i="47"/>
  <c r="G32" i="47"/>
  <c r="V31" i="47"/>
  <c r="M31" i="47" s="1"/>
  <c r="AF31" i="47" s="1"/>
  <c r="U31" i="47"/>
  <c r="O31" i="47"/>
  <c r="K31" i="47"/>
  <c r="G31" i="47"/>
  <c r="X30" i="47"/>
  <c r="W30" i="47"/>
  <c r="V30" i="47"/>
  <c r="M30" i="47" s="1"/>
  <c r="O30" i="47"/>
  <c r="K30" i="47"/>
  <c r="G30" i="47"/>
  <c r="AD29" i="47"/>
  <c r="Z29" i="47"/>
  <c r="Y29" i="47"/>
  <c r="O29" i="47"/>
  <c r="K29" i="47"/>
  <c r="V28" i="47"/>
  <c r="M28" i="47" s="1"/>
  <c r="AF28" i="47" s="1"/>
  <c r="U28" i="47"/>
  <c r="O28" i="47"/>
  <c r="K28" i="47"/>
  <c r="G28" i="47"/>
  <c r="V27" i="47"/>
  <c r="U27" i="47"/>
  <c r="O27" i="47"/>
  <c r="N27" i="47"/>
  <c r="M27" i="47"/>
  <c r="AF27" i="47" s="1"/>
  <c r="K27" i="47"/>
  <c r="G27" i="47"/>
  <c r="V26" i="47"/>
  <c r="U26" i="47"/>
  <c r="O26" i="47"/>
  <c r="M26" i="47"/>
  <c r="AF26" i="47" s="1"/>
  <c r="K26" i="47"/>
  <c r="G26" i="47"/>
  <c r="V25" i="47"/>
  <c r="M25" i="47" s="1"/>
  <c r="U25" i="47"/>
  <c r="O25" i="47"/>
  <c r="K25" i="47"/>
  <c r="G25" i="47"/>
  <c r="X24" i="47"/>
  <c r="W24" i="47"/>
  <c r="V24" i="47"/>
  <c r="O24" i="47"/>
  <c r="N24" i="47"/>
  <c r="Q24" i="47" s="1"/>
  <c r="M24" i="47"/>
  <c r="AF24" i="47" s="1"/>
  <c r="K24" i="47"/>
  <c r="G24" i="47"/>
  <c r="AD23" i="47"/>
  <c r="Z23" i="47"/>
  <c r="Y23" i="47"/>
  <c r="O23" i="47"/>
  <c r="K23" i="47"/>
  <c r="V22" i="47"/>
  <c r="M22" i="47" s="1"/>
  <c r="U22" i="47"/>
  <c r="O22" i="47"/>
  <c r="K22" i="47"/>
  <c r="G22" i="47"/>
  <c r="AF21" i="47"/>
  <c r="V21" i="47"/>
  <c r="U21" i="47"/>
  <c r="O21" i="47"/>
  <c r="M21" i="47"/>
  <c r="N21" i="47" s="1"/>
  <c r="K21" i="47"/>
  <c r="G21" i="47"/>
  <c r="V20" i="47"/>
  <c r="M20" i="47" s="1"/>
  <c r="U20" i="47"/>
  <c r="O20" i="47"/>
  <c r="K20" i="47"/>
  <c r="G20" i="47"/>
  <c r="V19" i="47"/>
  <c r="M19" i="47" s="1"/>
  <c r="U19" i="47"/>
  <c r="O19" i="47"/>
  <c r="K19" i="47"/>
  <c r="G19" i="47"/>
  <c r="V18" i="47"/>
  <c r="M18" i="47" s="1"/>
  <c r="O18" i="47"/>
  <c r="K18" i="47"/>
  <c r="G18" i="47"/>
  <c r="AD17" i="47"/>
  <c r="Z17" i="47"/>
  <c r="Y17" i="47"/>
  <c r="F18" i="46" s="1"/>
  <c r="O17" i="47"/>
  <c r="K17" i="47"/>
  <c r="V16" i="47"/>
  <c r="M16" i="47" s="1"/>
  <c r="U16" i="47"/>
  <c r="O16" i="47"/>
  <c r="K16" i="47"/>
  <c r="G16" i="47"/>
  <c r="V15" i="47"/>
  <c r="M15" i="47" s="1"/>
  <c r="U15" i="47"/>
  <c r="O15" i="47"/>
  <c r="K15" i="47"/>
  <c r="G15" i="47"/>
  <c r="V14" i="47"/>
  <c r="M14" i="47" s="1"/>
  <c r="U14" i="47"/>
  <c r="O14" i="47"/>
  <c r="K14" i="47"/>
  <c r="G14" i="47"/>
  <c r="V13" i="47"/>
  <c r="M13" i="47" s="1"/>
  <c r="O13" i="47"/>
  <c r="K13" i="47"/>
  <c r="G13" i="47"/>
  <c r="AD12" i="47"/>
  <c r="Z12" i="47"/>
  <c r="Y12" i="47"/>
  <c r="O12" i="47"/>
  <c r="K12" i="47"/>
  <c r="V11" i="47"/>
  <c r="U11" i="47"/>
  <c r="O11" i="47"/>
  <c r="M11" i="47"/>
  <c r="AF11" i="47" s="1"/>
  <c r="K11" i="47"/>
  <c r="G11" i="47"/>
  <c r="V10" i="47"/>
  <c r="M10" i="47" s="1"/>
  <c r="M12" i="47" s="1"/>
  <c r="O10" i="47"/>
  <c r="K10" i="47"/>
  <c r="G10" i="47"/>
  <c r="AD9" i="47"/>
  <c r="Z9" i="47"/>
  <c r="Y9" i="47"/>
  <c r="D18" i="46" s="1"/>
  <c r="O9" i="47"/>
  <c r="K9" i="47"/>
  <c r="V8" i="47"/>
  <c r="M8" i="47" s="1"/>
  <c r="AF8" i="47" s="1"/>
  <c r="U8" i="47"/>
  <c r="O8" i="47"/>
  <c r="K8" i="47"/>
  <c r="G8" i="47"/>
  <c r="V7" i="47"/>
  <c r="M7" i="47" s="1"/>
  <c r="U7" i="47"/>
  <c r="O7" i="47"/>
  <c r="K7" i="47"/>
  <c r="G7" i="47"/>
  <c r="V6" i="47"/>
  <c r="M6" i="47" s="1"/>
  <c r="U6" i="47"/>
  <c r="O6" i="47"/>
  <c r="K6" i="47"/>
  <c r="G6" i="47"/>
  <c r="AF5" i="47"/>
  <c r="V5" i="47"/>
  <c r="O5" i="47"/>
  <c r="M5" i="47"/>
  <c r="N5" i="47" s="1"/>
  <c r="K5" i="47"/>
  <c r="G5" i="47"/>
  <c r="Z2" i="47"/>
  <c r="H2" i="47"/>
  <c r="H1" i="47"/>
  <c r="D1" i="47"/>
  <c r="M22" i="46"/>
  <c r="L22" i="46"/>
  <c r="K22" i="46"/>
  <c r="J22" i="46"/>
  <c r="I22" i="46"/>
  <c r="H22" i="46"/>
  <c r="G22" i="46"/>
  <c r="F22" i="46"/>
  <c r="E22" i="46"/>
  <c r="D22" i="46"/>
  <c r="L21" i="46"/>
  <c r="K21" i="46"/>
  <c r="I21" i="46"/>
  <c r="H21" i="46"/>
  <c r="G21" i="46"/>
  <c r="F21" i="46"/>
  <c r="E21" i="46"/>
  <c r="D21" i="46"/>
  <c r="M20" i="46"/>
  <c r="L20" i="46"/>
  <c r="K20" i="46"/>
  <c r="J20" i="46"/>
  <c r="I20" i="46"/>
  <c r="H20" i="46"/>
  <c r="G20" i="46"/>
  <c r="F20" i="46"/>
  <c r="E20" i="46"/>
  <c r="D20" i="46"/>
  <c r="M19" i="46"/>
  <c r="L19" i="46"/>
  <c r="K19" i="46"/>
  <c r="J19" i="46"/>
  <c r="I19" i="46"/>
  <c r="H19" i="46"/>
  <c r="G19" i="46"/>
  <c r="F19" i="46"/>
  <c r="E19" i="46"/>
  <c r="D19" i="46"/>
  <c r="M18" i="46"/>
  <c r="L18" i="46"/>
  <c r="K18" i="46"/>
  <c r="J18" i="46"/>
  <c r="I18" i="46"/>
  <c r="H18" i="46"/>
  <c r="G18" i="46"/>
  <c r="E18" i="46"/>
  <c r="M17" i="46"/>
  <c r="L17" i="46"/>
  <c r="K17" i="46"/>
  <c r="J17" i="46"/>
  <c r="I17" i="46"/>
  <c r="H17" i="46"/>
  <c r="G17" i="46"/>
  <c r="F17" i="46"/>
  <c r="E17" i="46"/>
  <c r="D17" i="46"/>
  <c r="M16" i="46"/>
  <c r="L16" i="46"/>
  <c r="K16" i="46"/>
  <c r="J16" i="46"/>
  <c r="I16" i="46"/>
  <c r="H16" i="46"/>
  <c r="G16" i="46"/>
  <c r="F16" i="46"/>
  <c r="E16" i="46"/>
  <c r="D16" i="46"/>
  <c r="M13" i="46"/>
  <c r="L13" i="46"/>
  <c r="K13" i="46"/>
  <c r="I6" i="46" s="1"/>
  <c r="J13" i="46"/>
  <c r="I13" i="46"/>
  <c r="H13" i="46"/>
  <c r="G6" i="46" s="1"/>
  <c r="G13" i="46"/>
  <c r="F13" i="46"/>
  <c r="E13" i="46"/>
  <c r="D13" i="46"/>
  <c r="M6" i="46"/>
  <c r="L6" i="46"/>
  <c r="F3" i="46"/>
  <c r="C3" i="46"/>
  <c r="AE7" i="47" l="1"/>
  <c r="AF7" i="47"/>
  <c r="AE22" i="47"/>
  <c r="AF22" i="47"/>
  <c r="N59" i="47"/>
  <c r="AF59" i="47"/>
  <c r="AE59" i="47"/>
  <c r="N6" i="47"/>
  <c r="AF6" i="47"/>
  <c r="AE6" i="47"/>
  <c r="AF46" i="47"/>
  <c r="N46" i="47"/>
  <c r="Q46" i="47" s="1"/>
  <c r="AE25" i="47"/>
  <c r="AF25" i="47"/>
  <c r="AF56" i="47"/>
  <c r="Y2" i="47"/>
  <c r="K6" i="46" s="1"/>
  <c r="AE42" i="47"/>
  <c r="AD2" i="47"/>
  <c r="N6" i="46" s="1"/>
  <c r="F1" i="47"/>
  <c r="AE5" i="47"/>
  <c r="M9" i="47"/>
  <c r="AF9" i="47" s="1"/>
  <c r="AG5" i="47" s="1"/>
  <c r="D2" i="51"/>
  <c r="M29" i="47"/>
  <c r="G7" i="52"/>
  <c r="Q27" i="47"/>
  <c r="AE21" i="47"/>
  <c r="I8" i="52"/>
  <c r="G8" i="52"/>
  <c r="F8" i="52"/>
  <c r="E8" i="52"/>
  <c r="D15" i="50"/>
  <c r="K15" i="50"/>
  <c r="I8" i="50" s="1"/>
  <c r="I7" i="50"/>
  <c r="Q13" i="51"/>
  <c r="R10" i="51" s="1"/>
  <c r="E14" i="50"/>
  <c r="E15" i="50" s="1"/>
  <c r="P13" i="51"/>
  <c r="Q31" i="51"/>
  <c r="R25" i="51" s="1"/>
  <c r="P31" i="51"/>
  <c r="Q46" i="51"/>
  <c r="R41" i="51" s="1"/>
  <c r="H14" i="50"/>
  <c r="H15" i="50" s="1"/>
  <c r="Q61" i="51"/>
  <c r="R56" i="51" s="1"/>
  <c r="P61" i="51"/>
  <c r="Q24" i="51"/>
  <c r="R19" i="51" s="1"/>
  <c r="P24" i="51"/>
  <c r="G14" i="50"/>
  <c r="G15" i="50" s="1"/>
  <c r="I14" i="50"/>
  <c r="I15" i="50" s="1"/>
  <c r="Q55" i="51"/>
  <c r="R47" i="51" s="1"/>
  <c r="P55" i="51"/>
  <c r="F2" i="49"/>
  <c r="I3" i="48"/>
  <c r="N9" i="49"/>
  <c r="AF9" i="49"/>
  <c r="AG5" i="49" s="1"/>
  <c r="AE9" i="49"/>
  <c r="Q50" i="49"/>
  <c r="P50" i="49"/>
  <c r="Q62" i="49"/>
  <c r="P62" i="49"/>
  <c r="Q5" i="49"/>
  <c r="P5" i="49"/>
  <c r="Q52" i="49"/>
  <c r="P52" i="49"/>
  <c r="Q57" i="49"/>
  <c r="P57" i="49"/>
  <c r="Q29" i="49"/>
  <c r="P29" i="49"/>
  <c r="Q63" i="49"/>
  <c r="P63" i="49"/>
  <c r="Q51" i="49"/>
  <c r="P51" i="49"/>
  <c r="Q35" i="49"/>
  <c r="P35" i="49"/>
  <c r="P42" i="49"/>
  <c r="Q42" i="49"/>
  <c r="Q30" i="49"/>
  <c r="P30" i="49"/>
  <c r="AF71" i="49"/>
  <c r="AG65" i="49" s="1"/>
  <c r="AE71" i="49"/>
  <c r="N71" i="49"/>
  <c r="AE49" i="49"/>
  <c r="N49" i="49"/>
  <c r="AF49" i="49"/>
  <c r="AG44" i="49" s="1"/>
  <c r="Q28" i="49"/>
  <c r="P28" i="49"/>
  <c r="P11" i="49"/>
  <c r="Q11" i="49"/>
  <c r="N64" i="49"/>
  <c r="AE64" i="49"/>
  <c r="AF64" i="49"/>
  <c r="AG59" i="49" s="1"/>
  <c r="N19" i="49"/>
  <c r="AF19" i="49"/>
  <c r="AG14" i="49" s="1"/>
  <c r="AE19" i="49"/>
  <c r="Q26" i="49"/>
  <c r="R20" i="49" s="1"/>
  <c r="P26" i="49"/>
  <c r="G14" i="48"/>
  <c r="G15" i="48" s="1"/>
  <c r="Q38" i="49"/>
  <c r="P38" i="49"/>
  <c r="Q66" i="49"/>
  <c r="P66" i="49"/>
  <c r="P14" i="49"/>
  <c r="Q14" i="49"/>
  <c r="P60" i="49"/>
  <c r="Q60" i="49"/>
  <c r="Q25" i="49"/>
  <c r="P25" i="49"/>
  <c r="Q18" i="49"/>
  <c r="P18" i="49"/>
  <c r="Q44" i="49"/>
  <c r="P44" i="49"/>
  <c r="Q17" i="49"/>
  <c r="P17" i="49"/>
  <c r="Q55" i="49"/>
  <c r="P55" i="49"/>
  <c r="Q16" i="49"/>
  <c r="P16" i="49"/>
  <c r="Q24" i="49"/>
  <c r="P24" i="49"/>
  <c r="Q53" i="49"/>
  <c r="P53" i="49"/>
  <c r="Q23" i="49"/>
  <c r="P23" i="49"/>
  <c r="P59" i="49"/>
  <c r="Q59" i="49"/>
  <c r="Q32" i="49"/>
  <c r="P32" i="49"/>
  <c r="Q27" i="49"/>
  <c r="P27" i="49"/>
  <c r="N13" i="49"/>
  <c r="AF13" i="49"/>
  <c r="AG10" i="49" s="1"/>
  <c r="AE13" i="49"/>
  <c r="P41" i="49"/>
  <c r="Q41" i="49"/>
  <c r="P10" i="49"/>
  <c r="Q10" i="49"/>
  <c r="Q56" i="49"/>
  <c r="P56" i="49"/>
  <c r="N34" i="49"/>
  <c r="AF34" i="49"/>
  <c r="AG27" i="49" s="1"/>
  <c r="AE34" i="49"/>
  <c r="Q70" i="49"/>
  <c r="P70" i="49"/>
  <c r="N43" i="49"/>
  <c r="AF43" i="49"/>
  <c r="AG35" i="49" s="1"/>
  <c r="AE43" i="49"/>
  <c r="P61" i="49"/>
  <c r="Q61" i="49"/>
  <c r="Q8" i="49"/>
  <c r="P8" i="49"/>
  <c r="Q68" i="49"/>
  <c r="P68" i="49"/>
  <c r="P39" i="49"/>
  <c r="Q39" i="49"/>
  <c r="P45" i="49"/>
  <c r="Q45" i="49"/>
  <c r="N58" i="49"/>
  <c r="AF58" i="49"/>
  <c r="AG50" i="49" s="1"/>
  <c r="AE58" i="49"/>
  <c r="Q22" i="49"/>
  <c r="P22" i="49"/>
  <c r="P15" i="49"/>
  <c r="Q15" i="49"/>
  <c r="Q37" i="49"/>
  <c r="P37" i="49"/>
  <c r="Q12" i="49"/>
  <c r="P12" i="49"/>
  <c r="Q47" i="49"/>
  <c r="P47" i="49"/>
  <c r="Q40" i="49"/>
  <c r="P40" i="49"/>
  <c r="Q6" i="49"/>
  <c r="P6" i="49"/>
  <c r="Q46" i="49"/>
  <c r="P46" i="49"/>
  <c r="Q56" i="47"/>
  <c r="P56" i="47"/>
  <c r="N58" i="47"/>
  <c r="AF58" i="47"/>
  <c r="AE58" i="47"/>
  <c r="M17" i="47"/>
  <c r="AF13" i="47"/>
  <c r="AE13" i="47"/>
  <c r="N13" i="47"/>
  <c r="N54" i="47"/>
  <c r="AF54" i="47"/>
  <c r="AE54" i="47"/>
  <c r="F2" i="47"/>
  <c r="I3" i="46"/>
  <c r="Q42" i="47"/>
  <c r="P42" i="47"/>
  <c r="N15" i="47"/>
  <c r="AF15" i="47"/>
  <c r="AE15" i="47"/>
  <c r="N20" i="47"/>
  <c r="AF20" i="47"/>
  <c r="AE20" i="47"/>
  <c r="N36" i="47"/>
  <c r="AF36" i="47"/>
  <c r="M43" i="47"/>
  <c r="AE36" i="47"/>
  <c r="N38" i="47"/>
  <c r="AF38" i="47"/>
  <c r="AE38" i="47"/>
  <c r="N18" i="47"/>
  <c r="AF18" i="47"/>
  <c r="M23" i="47"/>
  <c r="AE18" i="47"/>
  <c r="Q21" i="47"/>
  <c r="P21" i="47"/>
  <c r="AF30" i="47"/>
  <c r="M35" i="47"/>
  <c r="AE30" i="47"/>
  <c r="N30" i="47"/>
  <c r="N34" i="47"/>
  <c r="AF34" i="47"/>
  <c r="AE34" i="47"/>
  <c r="N41" i="47"/>
  <c r="AF41" i="47"/>
  <c r="AE41" i="47"/>
  <c r="AF49" i="47"/>
  <c r="AE49" i="47"/>
  <c r="N49" i="47"/>
  <c r="N16" i="47"/>
  <c r="AF16" i="47"/>
  <c r="AE16" i="47"/>
  <c r="Q59" i="47"/>
  <c r="P59" i="47"/>
  <c r="Q6" i="47"/>
  <c r="P6" i="47"/>
  <c r="N39" i="47"/>
  <c r="AF39" i="47"/>
  <c r="AE39" i="47"/>
  <c r="N19" i="47"/>
  <c r="AF19" i="47"/>
  <c r="AE19" i="47"/>
  <c r="AF12" i="47"/>
  <c r="AG10" i="47" s="1"/>
  <c r="AE12" i="47"/>
  <c r="N12" i="47"/>
  <c r="N57" i="47"/>
  <c r="AF57" i="47"/>
  <c r="AE57" i="47"/>
  <c r="N37" i="47"/>
  <c r="AF37" i="47"/>
  <c r="AE37" i="47"/>
  <c r="N52" i="47"/>
  <c r="M55" i="47"/>
  <c r="AF52" i="47"/>
  <c r="AE52" i="47"/>
  <c r="AF14" i="47"/>
  <c r="AE14" i="47"/>
  <c r="N14" i="47"/>
  <c r="N50" i="47"/>
  <c r="AF50" i="47"/>
  <c r="AE50" i="47"/>
  <c r="Q5" i="47"/>
  <c r="P5" i="47"/>
  <c r="AF29" i="47"/>
  <c r="AG24" i="47" s="1"/>
  <c r="AE29" i="47"/>
  <c r="N29" i="47"/>
  <c r="AF33" i="47"/>
  <c r="AE33" i="47"/>
  <c r="N33" i="47"/>
  <c r="N40" i="47"/>
  <c r="AF40" i="47"/>
  <c r="AE40" i="47"/>
  <c r="N53" i="47"/>
  <c r="AF53" i="47"/>
  <c r="AE53" i="47"/>
  <c r="N32" i="47"/>
  <c r="N48" i="47"/>
  <c r="N9" i="47"/>
  <c r="N10" i="47"/>
  <c r="N11" i="47"/>
  <c r="N28" i="47"/>
  <c r="N31" i="47"/>
  <c r="N47" i="47"/>
  <c r="AE56" i="47"/>
  <c r="M61" i="47"/>
  <c r="N8" i="47"/>
  <c r="N26" i="47"/>
  <c r="N44" i="47"/>
  <c r="N45" i="47"/>
  <c r="E6" i="46"/>
  <c r="F6" i="46"/>
  <c r="N7" i="47"/>
  <c r="N22" i="47"/>
  <c r="P24" i="47"/>
  <c r="N25" i="47"/>
  <c r="P27" i="47"/>
  <c r="N60" i="47"/>
  <c r="AE32" i="47"/>
  <c r="AE48" i="47"/>
  <c r="AE10" i="47"/>
  <c r="AE11" i="47"/>
  <c r="AE28" i="47"/>
  <c r="AE31" i="47"/>
  <c r="AE47" i="47"/>
  <c r="M51" i="47"/>
  <c r="AE9" i="47"/>
  <c r="AF10" i="47"/>
  <c r="AE27" i="47"/>
  <c r="AE46" i="47"/>
  <c r="AE8" i="47"/>
  <c r="AE26" i="47"/>
  <c r="AE44" i="47"/>
  <c r="AE45" i="47"/>
  <c r="AE24" i="47"/>
  <c r="AD61" i="45"/>
  <c r="Z61" i="45"/>
  <c r="Y61" i="45"/>
  <c r="O61" i="45"/>
  <c r="K61" i="45"/>
  <c r="V60" i="45"/>
  <c r="M60" i="45" s="1"/>
  <c r="U60" i="45"/>
  <c r="O60" i="45"/>
  <c r="K60" i="45"/>
  <c r="G60" i="45"/>
  <c r="V59" i="45"/>
  <c r="M59" i="45" s="1"/>
  <c r="U59" i="45"/>
  <c r="O59" i="45"/>
  <c r="K59" i="45"/>
  <c r="G59" i="45"/>
  <c r="V58" i="45"/>
  <c r="M58" i="45" s="1"/>
  <c r="U58" i="45"/>
  <c r="O58" i="45"/>
  <c r="K58" i="45"/>
  <c r="G58" i="45"/>
  <c r="V57" i="45"/>
  <c r="M57" i="45" s="1"/>
  <c r="U57" i="45"/>
  <c r="O57" i="45"/>
  <c r="K57" i="45"/>
  <c r="G57" i="45"/>
  <c r="X56" i="45"/>
  <c r="W56" i="45"/>
  <c r="V56" i="45"/>
  <c r="M56" i="45" s="1"/>
  <c r="O56" i="45"/>
  <c r="K56" i="45"/>
  <c r="G56" i="45"/>
  <c r="AD55" i="45"/>
  <c r="Z55" i="45"/>
  <c r="Y55" i="45"/>
  <c r="O55" i="45"/>
  <c r="K55" i="45"/>
  <c r="V54" i="45"/>
  <c r="M54" i="45" s="1"/>
  <c r="U54" i="45"/>
  <c r="O54" i="45"/>
  <c r="K54" i="45"/>
  <c r="G54" i="45"/>
  <c r="V53" i="45"/>
  <c r="U53" i="45"/>
  <c r="O53" i="45"/>
  <c r="M53" i="45"/>
  <c r="AF53" i="45" s="1"/>
  <c r="K53" i="45"/>
  <c r="G53" i="45"/>
  <c r="V52" i="45"/>
  <c r="O52" i="45"/>
  <c r="N52" i="45"/>
  <c r="M52" i="45"/>
  <c r="K52" i="45"/>
  <c r="G52" i="45"/>
  <c r="AD51" i="45"/>
  <c r="Z51" i="45"/>
  <c r="Y51" i="45"/>
  <c r="O51" i="45"/>
  <c r="K51" i="45"/>
  <c r="V50" i="45"/>
  <c r="M50" i="45" s="1"/>
  <c r="U50" i="45"/>
  <c r="O50" i="45"/>
  <c r="K50" i="45"/>
  <c r="G50" i="45"/>
  <c r="V49" i="45"/>
  <c r="M49" i="45" s="1"/>
  <c r="U49" i="45"/>
  <c r="O49" i="45"/>
  <c r="K49" i="45"/>
  <c r="G49" i="45"/>
  <c r="V48" i="45"/>
  <c r="U48" i="45"/>
  <c r="O48" i="45"/>
  <c r="N48" i="45"/>
  <c r="Q48" i="45" s="1"/>
  <c r="M48" i="45"/>
  <c r="AF48" i="45" s="1"/>
  <c r="K48" i="45"/>
  <c r="G48" i="45"/>
  <c r="V47" i="45"/>
  <c r="M47" i="45" s="1"/>
  <c r="U47" i="45"/>
  <c r="O47" i="45"/>
  <c r="K47" i="45"/>
  <c r="G47" i="45"/>
  <c r="V46" i="45"/>
  <c r="U46" i="45"/>
  <c r="O46" i="45"/>
  <c r="M46" i="45"/>
  <c r="K46" i="45"/>
  <c r="G46" i="45"/>
  <c r="AF45" i="45"/>
  <c r="V45" i="45"/>
  <c r="U45" i="45"/>
  <c r="O45" i="45"/>
  <c r="N45" i="45"/>
  <c r="P45" i="45" s="1"/>
  <c r="M45" i="45"/>
  <c r="AE45" i="45" s="1"/>
  <c r="K45" i="45"/>
  <c r="G45" i="45"/>
  <c r="V44" i="45"/>
  <c r="O44" i="45"/>
  <c r="M44" i="45"/>
  <c r="AF44" i="45" s="1"/>
  <c r="K44" i="45"/>
  <c r="G44" i="45"/>
  <c r="AD43" i="45"/>
  <c r="Z43" i="45"/>
  <c r="H19" i="44" s="1"/>
  <c r="Y43" i="45"/>
  <c r="O43" i="45"/>
  <c r="K43" i="45"/>
  <c r="V42" i="45"/>
  <c r="M42" i="45" s="1"/>
  <c r="U42" i="45"/>
  <c r="O42" i="45"/>
  <c r="K42" i="45"/>
  <c r="G42" i="45"/>
  <c r="V41" i="45"/>
  <c r="M41" i="45" s="1"/>
  <c r="U41" i="45"/>
  <c r="O41" i="45"/>
  <c r="K41" i="45"/>
  <c r="G41" i="45"/>
  <c r="V40" i="45"/>
  <c r="M40" i="45" s="1"/>
  <c r="U40" i="45"/>
  <c r="O40" i="45"/>
  <c r="K40" i="45"/>
  <c r="G40" i="45"/>
  <c r="V39" i="45"/>
  <c r="U39" i="45"/>
  <c r="O39" i="45"/>
  <c r="M39" i="45"/>
  <c r="AF39" i="45" s="1"/>
  <c r="K39" i="45"/>
  <c r="G39" i="45"/>
  <c r="V38" i="45"/>
  <c r="M38" i="45" s="1"/>
  <c r="U38" i="45"/>
  <c r="O38" i="45"/>
  <c r="K38" i="45"/>
  <c r="G38" i="45"/>
  <c r="X37" i="45"/>
  <c r="W37" i="45"/>
  <c r="V37" i="45"/>
  <c r="M37" i="45" s="1"/>
  <c r="U37" i="45"/>
  <c r="O37" i="45"/>
  <c r="K37" i="45"/>
  <c r="G37" i="45"/>
  <c r="V36" i="45"/>
  <c r="M36" i="45" s="1"/>
  <c r="O36" i="45"/>
  <c r="K36" i="45"/>
  <c r="G36" i="45"/>
  <c r="AD35" i="45"/>
  <c r="Z35" i="45"/>
  <c r="L19" i="44" s="1"/>
  <c r="Y35" i="45"/>
  <c r="O35" i="45"/>
  <c r="K35" i="45"/>
  <c r="V34" i="45"/>
  <c r="U34" i="45"/>
  <c r="O34" i="45"/>
  <c r="M34" i="45"/>
  <c r="N34" i="45" s="1"/>
  <c r="Q34" i="45" s="1"/>
  <c r="K34" i="45"/>
  <c r="G34" i="45"/>
  <c r="V33" i="45"/>
  <c r="U33" i="45"/>
  <c r="O33" i="45"/>
  <c r="M33" i="45"/>
  <c r="AF33" i="45" s="1"/>
  <c r="K33" i="45"/>
  <c r="G33" i="45"/>
  <c r="V32" i="45"/>
  <c r="U32" i="45"/>
  <c r="O32" i="45"/>
  <c r="M32" i="45"/>
  <c r="AF32" i="45" s="1"/>
  <c r="K32" i="45"/>
  <c r="G32" i="45"/>
  <c r="V31" i="45"/>
  <c r="U31" i="45"/>
  <c r="O31" i="45"/>
  <c r="M31" i="45"/>
  <c r="AF31" i="45" s="1"/>
  <c r="K31" i="45"/>
  <c r="G31" i="45"/>
  <c r="X30" i="45"/>
  <c r="W30" i="45"/>
  <c r="V30" i="45"/>
  <c r="M30" i="45" s="1"/>
  <c r="O30" i="45"/>
  <c r="K30" i="45"/>
  <c r="G30" i="45"/>
  <c r="AD29" i="45"/>
  <c r="Z29" i="45"/>
  <c r="Y29" i="45"/>
  <c r="O29" i="45"/>
  <c r="K29" i="45"/>
  <c r="AE28" i="45"/>
  <c r="V28" i="45"/>
  <c r="U28" i="45"/>
  <c r="O28" i="45"/>
  <c r="N28" i="45"/>
  <c r="Q28" i="45" s="1"/>
  <c r="M28" i="45"/>
  <c r="AF28" i="45" s="1"/>
  <c r="K28" i="45"/>
  <c r="G28" i="45"/>
  <c r="AE27" i="45"/>
  <c r="V27" i="45"/>
  <c r="U27" i="45"/>
  <c r="O27" i="45"/>
  <c r="N27" i="45"/>
  <c r="Q27" i="45" s="1"/>
  <c r="M27" i="45"/>
  <c r="AF27" i="45" s="1"/>
  <c r="K27" i="45"/>
  <c r="G27" i="45"/>
  <c r="V26" i="45"/>
  <c r="M26" i="45" s="1"/>
  <c r="U26" i="45"/>
  <c r="O26" i="45"/>
  <c r="K26" i="45"/>
  <c r="G26" i="45"/>
  <c r="AE25" i="45"/>
  <c r="V25" i="45"/>
  <c r="U25" i="45"/>
  <c r="O25" i="45"/>
  <c r="M25" i="45"/>
  <c r="N25" i="45" s="1"/>
  <c r="P25" i="45" s="1"/>
  <c r="K25" i="45"/>
  <c r="G25" i="45"/>
  <c r="AE24" i="45"/>
  <c r="X24" i="45"/>
  <c r="W24" i="45"/>
  <c r="V24" i="45"/>
  <c r="O24" i="45"/>
  <c r="M24" i="45"/>
  <c r="K24" i="45"/>
  <c r="G24" i="45"/>
  <c r="AD23" i="45"/>
  <c r="AD2" i="45" s="1"/>
  <c r="N6" i="44" s="1"/>
  <c r="Z23" i="45"/>
  <c r="Y23" i="45"/>
  <c r="G18" i="44" s="1"/>
  <c r="O23" i="45"/>
  <c r="K23" i="45"/>
  <c r="V22" i="45"/>
  <c r="M22" i="45" s="1"/>
  <c r="U22" i="45"/>
  <c r="O22" i="45"/>
  <c r="K22" i="45"/>
  <c r="G22" i="45"/>
  <c r="V21" i="45"/>
  <c r="M21" i="45" s="1"/>
  <c r="U21" i="45"/>
  <c r="O21" i="45"/>
  <c r="K21" i="45"/>
  <c r="G21" i="45"/>
  <c r="V20" i="45"/>
  <c r="M20" i="45" s="1"/>
  <c r="U20" i="45"/>
  <c r="O20" i="45"/>
  <c r="K20" i="45"/>
  <c r="G20" i="45"/>
  <c r="V19" i="45"/>
  <c r="M19" i="45" s="1"/>
  <c r="U19" i="45"/>
  <c r="O19" i="45"/>
  <c r="K19" i="45"/>
  <c r="G19" i="45"/>
  <c r="V18" i="45"/>
  <c r="M18" i="45" s="1"/>
  <c r="O18" i="45"/>
  <c r="K18" i="45"/>
  <c r="G18" i="45"/>
  <c r="AD17" i="45"/>
  <c r="Z17" i="45"/>
  <c r="Y17" i="45"/>
  <c r="F18" i="44" s="1"/>
  <c r="O17" i="45"/>
  <c r="K17" i="45"/>
  <c r="V16" i="45"/>
  <c r="U16" i="45"/>
  <c r="O16" i="45"/>
  <c r="M16" i="45"/>
  <c r="M17" i="45" s="1"/>
  <c r="K16" i="45"/>
  <c r="G16" i="45"/>
  <c r="V15" i="45"/>
  <c r="U15" i="45"/>
  <c r="O15" i="45"/>
  <c r="N15" i="45"/>
  <c r="Q15" i="45" s="1"/>
  <c r="M15" i="45"/>
  <c r="AF15" i="45" s="1"/>
  <c r="K15" i="45"/>
  <c r="G15" i="45"/>
  <c r="V14" i="45"/>
  <c r="U14" i="45"/>
  <c r="O14" i="45"/>
  <c r="N14" i="45"/>
  <c r="M14" i="45"/>
  <c r="AF14" i="45" s="1"/>
  <c r="K14" i="45"/>
  <c r="G14" i="45"/>
  <c r="AF13" i="45"/>
  <c r="V13" i="45"/>
  <c r="O13" i="45"/>
  <c r="M13" i="45"/>
  <c r="AE13" i="45" s="1"/>
  <c r="K13" i="45"/>
  <c r="G13" i="45"/>
  <c r="AD12" i="45"/>
  <c r="Z12" i="45"/>
  <c r="Y12" i="45"/>
  <c r="O12" i="45"/>
  <c r="K12" i="45"/>
  <c r="V11" i="45"/>
  <c r="M11" i="45" s="1"/>
  <c r="U11" i="45"/>
  <c r="O11" i="45"/>
  <c r="K11" i="45"/>
  <c r="G11" i="45"/>
  <c r="V10" i="45"/>
  <c r="M10" i="45" s="1"/>
  <c r="O10" i="45"/>
  <c r="K10" i="45"/>
  <c r="G10" i="45"/>
  <c r="AD9" i="45"/>
  <c r="Z9" i="45"/>
  <c r="Z2" i="45" s="1"/>
  <c r="L6" i="44" s="1"/>
  <c r="Y9" i="45"/>
  <c r="Y2" i="45" s="1"/>
  <c r="K6" i="44" s="1"/>
  <c r="O9" i="45"/>
  <c r="K9" i="45"/>
  <c r="V8" i="45"/>
  <c r="M8" i="45" s="1"/>
  <c r="U8" i="45"/>
  <c r="O8" i="45"/>
  <c r="K8" i="45"/>
  <c r="G8" i="45"/>
  <c r="V7" i="45"/>
  <c r="M7" i="45" s="1"/>
  <c r="U7" i="45"/>
  <c r="O7" i="45"/>
  <c r="K7" i="45"/>
  <c r="G7" i="45"/>
  <c r="AE6" i="45"/>
  <c r="V6" i="45"/>
  <c r="U6" i="45"/>
  <c r="O6" i="45"/>
  <c r="M6" i="45"/>
  <c r="N6" i="45" s="1"/>
  <c r="K6" i="45"/>
  <c r="G6" i="45"/>
  <c r="V5" i="45"/>
  <c r="M5" i="45" s="1"/>
  <c r="O5" i="45"/>
  <c r="K5" i="45"/>
  <c r="G5" i="45"/>
  <c r="F1" i="45" s="1"/>
  <c r="I3" i="44" s="1"/>
  <c r="H2" i="45"/>
  <c r="H1" i="45"/>
  <c r="D1" i="45"/>
  <c r="M22" i="44"/>
  <c r="L22" i="44"/>
  <c r="K22" i="44"/>
  <c r="J22" i="44"/>
  <c r="I22" i="44"/>
  <c r="H22" i="44"/>
  <c r="G22" i="44"/>
  <c r="F22" i="44"/>
  <c r="E22" i="44"/>
  <c r="D22" i="44"/>
  <c r="M21" i="44"/>
  <c r="L21" i="44"/>
  <c r="K21" i="44"/>
  <c r="J21" i="44"/>
  <c r="I21" i="44"/>
  <c r="H21" i="44"/>
  <c r="F21" i="44"/>
  <c r="E21" i="44"/>
  <c r="D21" i="44"/>
  <c r="M20" i="44"/>
  <c r="L20" i="44"/>
  <c r="K20" i="44"/>
  <c r="J20" i="44"/>
  <c r="I20" i="44"/>
  <c r="H20" i="44"/>
  <c r="G20" i="44"/>
  <c r="F20" i="44"/>
  <c r="E20" i="44"/>
  <c r="D20" i="44"/>
  <c r="M19" i="44"/>
  <c r="K19" i="44"/>
  <c r="J19" i="44"/>
  <c r="I19" i="44"/>
  <c r="G19" i="44"/>
  <c r="F19" i="44"/>
  <c r="E19" i="44"/>
  <c r="D19" i="44"/>
  <c r="M18" i="44"/>
  <c r="L18" i="44"/>
  <c r="K18" i="44"/>
  <c r="J18" i="44"/>
  <c r="I18" i="44"/>
  <c r="H18" i="44"/>
  <c r="E18" i="44"/>
  <c r="D18" i="44"/>
  <c r="M17" i="44"/>
  <c r="L17" i="44"/>
  <c r="K17" i="44"/>
  <c r="J17" i="44"/>
  <c r="I17" i="44"/>
  <c r="H17" i="44"/>
  <c r="G17" i="44"/>
  <c r="F17" i="44"/>
  <c r="E17" i="44"/>
  <c r="D17" i="44"/>
  <c r="M16" i="44"/>
  <c r="L16" i="44"/>
  <c r="K16" i="44"/>
  <c r="J16" i="44"/>
  <c r="I16" i="44"/>
  <c r="H16" i="44"/>
  <c r="G16" i="44"/>
  <c r="F16" i="44"/>
  <c r="E16" i="44"/>
  <c r="D16" i="44"/>
  <c r="M13" i="44"/>
  <c r="L13" i="44"/>
  <c r="K13" i="44"/>
  <c r="J13" i="44"/>
  <c r="I13" i="44"/>
  <c r="H13" i="44"/>
  <c r="G13" i="44"/>
  <c r="F13" i="44"/>
  <c r="E13" i="44"/>
  <c r="D13" i="44"/>
  <c r="M6" i="44"/>
  <c r="I6" i="44"/>
  <c r="G6" i="44"/>
  <c r="F6" i="44"/>
  <c r="E6" i="44"/>
  <c r="F3" i="44"/>
  <c r="C3" i="44"/>
  <c r="M29" i="45" l="1"/>
  <c r="AF29" i="45" s="1"/>
  <c r="AG24" i="45" s="1"/>
  <c r="N40" i="45"/>
  <c r="Q40" i="45" s="1"/>
  <c r="AF40" i="45"/>
  <c r="AE40" i="45"/>
  <c r="AF59" i="45"/>
  <c r="AE59" i="45"/>
  <c r="N59" i="45"/>
  <c r="AF37" i="45"/>
  <c r="AE37" i="45"/>
  <c r="N37" i="45"/>
  <c r="AF41" i="45"/>
  <c r="AE41" i="45"/>
  <c r="N41" i="45"/>
  <c r="Q41" i="45" s="1"/>
  <c r="AE17" i="45"/>
  <c r="AF17" i="45"/>
  <c r="AG13" i="45" s="1"/>
  <c r="M35" i="45"/>
  <c r="AF30" i="45"/>
  <c r="AE30" i="45"/>
  <c r="N30" i="45"/>
  <c r="Q30" i="45" s="1"/>
  <c r="N56" i="45"/>
  <c r="M61" i="45"/>
  <c r="AF61" i="45" s="1"/>
  <c r="AG56" i="45" s="1"/>
  <c r="AF56" i="45"/>
  <c r="AE56" i="45"/>
  <c r="M55" i="45"/>
  <c r="N21" i="45"/>
  <c r="AF21" i="45"/>
  <c r="AE21" i="45"/>
  <c r="N38" i="45"/>
  <c r="AF38" i="45"/>
  <c r="AE38" i="45"/>
  <c r="AF60" i="45"/>
  <c r="AE60" i="45"/>
  <c r="N60" i="45"/>
  <c r="AF5" i="45"/>
  <c r="AE5" i="45"/>
  <c r="M9" i="45"/>
  <c r="N5" i="45"/>
  <c r="AF20" i="45"/>
  <c r="AE20" i="45"/>
  <c r="N20" i="45"/>
  <c r="Q20" i="45" s="1"/>
  <c r="Q6" i="45"/>
  <c r="P6" i="45"/>
  <c r="N10" i="45"/>
  <c r="M12" i="45"/>
  <c r="AF10" i="45"/>
  <c r="AE10" i="45"/>
  <c r="N42" i="45"/>
  <c r="AF42" i="45"/>
  <c r="AE42" i="45"/>
  <c r="N49" i="45"/>
  <c r="Q49" i="45" s="1"/>
  <c r="AF49" i="45"/>
  <c r="AE49" i="45"/>
  <c r="N47" i="45"/>
  <c r="AF47" i="45"/>
  <c r="AE47" i="45"/>
  <c r="AF11" i="45"/>
  <c r="AE11" i="45"/>
  <c r="N11" i="45"/>
  <c r="P11" i="45" s="1"/>
  <c r="AF22" i="45"/>
  <c r="AE22" i="45"/>
  <c r="N22" i="45"/>
  <c r="Q22" i="45" s="1"/>
  <c r="N19" i="45"/>
  <c r="Q19" i="45" s="1"/>
  <c r="AF19" i="45"/>
  <c r="AE19" i="45"/>
  <c r="N8" i="45"/>
  <c r="AF8" i="45"/>
  <c r="AE8" i="45"/>
  <c r="M23" i="45"/>
  <c r="AF18" i="45"/>
  <c r="AE18" i="45"/>
  <c r="N18" i="45"/>
  <c r="AF57" i="45"/>
  <c r="AE57" i="45"/>
  <c r="N57" i="45"/>
  <c r="Q57" i="45" s="1"/>
  <c r="AF7" i="45"/>
  <c r="AE7" i="45"/>
  <c r="N7" i="45"/>
  <c r="AF50" i="45"/>
  <c r="AE50" i="45"/>
  <c r="N50" i="45"/>
  <c r="Q50" i="45" s="1"/>
  <c r="AF26" i="45"/>
  <c r="AE26" i="45"/>
  <c r="N26" i="45"/>
  <c r="Q26" i="45" s="1"/>
  <c r="AE36" i="45"/>
  <c r="N36" i="45"/>
  <c r="Q36" i="45" s="1"/>
  <c r="M43" i="45"/>
  <c r="AF43" i="45" s="1"/>
  <c r="AG36" i="45" s="1"/>
  <c r="AF36" i="45"/>
  <c r="N54" i="45"/>
  <c r="AF54" i="45"/>
  <c r="AE54" i="45"/>
  <c r="N58" i="45"/>
  <c r="AF58" i="45"/>
  <c r="AE58" i="45"/>
  <c r="AF6" i="45"/>
  <c r="AF25" i="45"/>
  <c r="N32" i="45"/>
  <c r="Q32" i="45" s="1"/>
  <c r="Q45" i="45"/>
  <c r="AE52" i="45"/>
  <c r="N13" i="45"/>
  <c r="Q13" i="45" s="1"/>
  <c r="AE34" i="45"/>
  <c r="AF52" i="45"/>
  <c r="AE15" i="45"/>
  <c r="AF34" i="45"/>
  <c r="P28" i="45"/>
  <c r="AE32" i="45"/>
  <c r="N24" i="45"/>
  <c r="Q24" i="45" s="1"/>
  <c r="N53" i="45"/>
  <c r="N39" i="45"/>
  <c r="P39" i="45" s="1"/>
  <c r="N16" i="45"/>
  <c r="M51" i="45"/>
  <c r="N51" i="45" s="1"/>
  <c r="N31" i="45"/>
  <c r="N33" i="45"/>
  <c r="Q33" i="45" s="1"/>
  <c r="Q14" i="45"/>
  <c r="AE48" i="45"/>
  <c r="AF24" i="45"/>
  <c r="AE39" i="45"/>
  <c r="N44" i="45"/>
  <c r="Q44" i="45" s="1"/>
  <c r="P46" i="47"/>
  <c r="AE53" i="45"/>
  <c r="AE33" i="45"/>
  <c r="AE14" i="45"/>
  <c r="AE16" i="45"/>
  <c r="AE44" i="45"/>
  <c r="G21" i="44"/>
  <c r="AF16" i="45"/>
  <c r="AE31" i="45"/>
  <c r="Q52" i="45"/>
  <c r="G7" i="50"/>
  <c r="E8" i="50"/>
  <c r="G8" i="50"/>
  <c r="F8" i="50"/>
  <c r="E7" i="50"/>
  <c r="F7" i="50"/>
  <c r="Q19" i="49"/>
  <c r="R14" i="49" s="1"/>
  <c r="P19" i="49"/>
  <c r="F14" i="48"/>
  <c r="F15" i="48" s="1"/>
  <c r="Q49" i="49"/>
  <c r="R44" i="49" s="1"/>
  <c r="P49" i="49"/>
  <c r="H14" i="48"/>
  <c r="H15" i="48" s="1"/>
  <c r="Q71" i="49"/>
  <c r="R65" i="49" s="1"/>
  <c r="P71" i="49"/>
  <c r="M14" i="48"/>
  <c r="M15" i="48" s="1"/>
  <c r="P58" i="49"/>
  <c r="Q58" i="49"/>
  <c r="R50" i="49" s="1"/>
  <c r="I14" i="48"/>
  <c r="I15" i="48" s="1"/>
  <c r="P13" i="49"/>
  <c r="Q13" i="49"/>
  <c r="R10" i="49" s="1"/>
  <c r="E14" i="48"/>
  <c r="E15" i="48" s="1"/>
  <c r="Q43" i="49"/>
  <c r="R35" i="49" s="1"/>
  <c r="P43" i="49"/>
  <c r="L14" i="48"/>
  <c r="L15" i="48" s="1"/>
  <c r="K14" i="48"/>
  <c r="Q34" i="49"/>
  <c r="R27" i="49" s="1"/>
  <c r="P34" i="49"/>
  <c r="D2" i="49"/>
  <c r="P9" i="49"/>
  <c r="D14" i="48"/>
  <c r="Q9" i="49"/>
  <c r="R5" i="49" s="1"/>
  <c r="Q64" i="49"/>
  <c r="R59" i="49" s="1"/>
  <c r="P64" i="49"/>
  <c r="J14" i="48"/>
  <c r="J15" i="48" s="1"/>
  <c r="Q26" i="47"/>
  <c r="P26" i="47"/>
  <c r="Q54" i="47"/>
  <c r="P54" i="47"/>
  <c r="Q45" i="47"/>
  <c r="P45" i="47"/>
  <c r="Q60" i="47"/>
  <c r="P60" i="47"/>
  <c r="Q8" i="47"/>
  <c r="P8" i="47"/>
  <c r="Q13" i="47"/>
  <c r="P13" i="47"/>
  <c r="Q32" i="47"/>
  <c r="P32" i="47"/>
  <c r="AF61" i="47"/>
  <c r="AG56" i="47" s="1"/>
  <c r="AE61" i="47"/>
  <c r="N61" i="47"/>
  <c r="P53" i="47"/>
  <c r="Q53" i="47"/>
  <c r="P37" i="47"/>
  <c r="Q37" i="47"/>
  <c r="P39" i="47"/>
  <c r="Q39" i="47"/>
  <c r="AF23" i="47"/>
  <c r="AG18" i="47" s="1"/>
  <c r="AE23" i="47"/>
  <c r="N23" i="47"/>
  <c r="Q20" i="47"/>
  <c r="P20" i="47"/>
  <c r="N55" i="47"/>
  <c r="AF55" i="47"/>
  <c r="AG52" i="47" s="1"/>
  <c r="AE55" i="47"/>
  <c r="Q25" i="47"/>
  <c r="P25" i="47"/>
  <c r="Q47" i="47"/>
  <c r="P47" i="47"/>
  <c r="Q50" i="47"/>
  <c r="P50" i="47"/>
  <c r="Q18" i="47"/>
  <c r="P18" i="47"/>
  <c r="N17" i="47"/>
  <c r="AF17" i="47"/>
  <c r="AG13" i="47" s="1"/>
  <c r="AE17" i="47"/>
  <c r="P36" i="47"/>
  <c r="Q36" i="47"/>
  <c r="N51" i="47"/>
  <c r="AF51" i="47"/>
  <c r="AG44" i="47" s="1"/>
  <c r="AE51" i="47"/>
  <c r="Q31" i="47"/>
  <c r="P31" i="47"/>
  <c r="Q40" i="47"/>
  <c r="P40" i="47"/>
  <c r="Q14" i="47"/>
  <c r="P14" i="47"/>
  <c r="Q57" i="47"/>
  <c r="P57" i="47"/>
  <c r="Q15" i="47"/>
  <c r="P15" i="47"/>
  <c r="Q22" i="47"/>
  <c r="P22" i="47"/>
  <c r="Q28" i="47"/>
  <c r="P28" i="47"/>
  <c r="Q33" i="47"/>
  <c r="P33" i="47"/>
  <c r="E14" i="46"/>
  <c r="E15" i="46" s="1"/>
  <c r="Q12" i="47"/>
  <c r="R10" i="47" s="1"/>
  <c r="P12" i="47"/>
  <c r="Q34" i="47"/>
  <c r="P34" i="47"/>
  <c r="Q49" i="47"/>
  <c r="P49" i="47"/>
  <c r="P52" i="47"/>
  <c r="Q52" i="47"/>
  <c r="Q41" i="47"/>
  <c r="P41" i="47"/>
  <c r="Q7" i="47"/>
  <c r="P7" i="47"/>
  <c r="Q11" i="47"/>
  <c r="P11" i="47"/>
  <c r="Q30" i="47"/>
  <c r="P30" i="47"/>
  <c r="Q38" i="47"/>
  <c r="P38" i="47"/>
  <c r="Q58" i="47"/>
  <c r="P58" i="47"/>
  <c r="Q48" i="47"/>
  <c r="P48" i="47"/>
  <c r="Q19" i="47"/>
  <c r="P19" i="47"/>
  <c r="Q10" i="47"/>
  <c r="P10" i="47"/>
  <c r="Q44" i="47"/>
  <c r="P44" i="47"/>
  <c r="Q9" i="47"/>
  <c r="R5" i="47" s="1"/>
  <c r="D14" i="46"/>
  <c r="P9" i="47"/>
  <c r="K14" i="46"/>
  <c r="Q29" i="47"/>
  <c r="R24" i="47" s="1"/>
  <c r="P29" i="47"/>
  <c r="Q16" i="47"/>
  <c r="P16" i="47"/>
  <c r="N35" i="47"/>
  <c r="AF35" i="47"/>
  <c r="AG30" i="47" s="1"/>
  <c r="AE35" i="47"/>
  <c r="AE43" i="47"/>
  <c r="N43" i="47"/>
  <c r="AF43" i="47"/>
  <c r="AG36" i="47" s="1"/>
  <c r="P14" i="45"/>
  <c r="P30" i="45"/>
  <c r="P44" i="45"/>
  <c r="N46" i="45"/>
  <c r="Q11" i="45"/>
  <c r="P27" i="45"/>
  <c r="P34" i="45"/>
  <c r="AE46" i="45"/>
  <c r="P50" i="45"/>
  <c r="F2" i="45"/>
  <c r="P13" i="45"/>
  <c r="AF46" i="45"/>
  <c r="P22" i="45"/>
  <c r="P36" i="45"/>
  <c r="P52" i="45"/>
  <c r="N61" i="45"/>
  <c r="N17" i="45"/>
  <c r="P15" i="45"/>
  <c r="P24" i="45"/>
  <c r="P48" i="45"/>
  <c r="Q25" i="45"/>
  <c r="N29" i="45"/>
  <c r="N43" i="45"/>
  <c r="AE29" i="45"/>
  <c r="AE43" i="45"/>
  <c r="P19" i="45"/>
  <c r="P26" i="45"/>
  <c r="P33" i="45"/>
  <c r="P49" i="45"/>
  <c r="AE61" i="45"/>
  <c r="AD63" i="43"/>
  <c r="AC63" i="43"/>
  <c r="Z63" i="43"/>
  <c r="Y63" i="43"/>
  <c r="O63" i="43"/>
  <c r="K63" i="43"/>
  <c r="V62" i="43"/>
  <c r="M62" i="43" s="1"/>
  <c r="AF62" i="43" s="1"/>
  <c r="U62" i="43"/>
  <c r="O62" i="43"/>
  <c r="K62" i="43"/>
  <c r="G62" i="43"/>
  <c r="V61" i="43"/>
  <c r="M61" i="43" s="1"/>
  <c r="U61" i="43"/>
  <c r="O61" i="43"/>
  <c r="K61" i="43"/>
  <c r="G61" i="43"/>
  <c r="V60" i="43"/>
  <c r="U60" i="43"/>
  <c r="O60" i="43"/>
  <c r="M60" i="43"/>
  <c r="N60" i="43" s="1"/>
  <c r="K60" i="43"/>
  <c r="G60" i="43"/>
  <c r="V59" i="43"/>
  <c r="M59" i="43" s="1"/>
  <c r="U59" i="43"/>
  <c r="O59" i="43"/>
  <c r="K59" i="43"/>
  <c r="G59" i="43"/>
  <c r="X58" i="43"/>
  <c r="W58" i="43"/>
  <c r="V58" i="43"/>
  <c r="M58" i="43" s="1"/>
  <c r="O58" i="43"/>
  <c r="K58" i="43"/>
  <c r="G58" i="43"/>
  <c r="AD57" i="43"/>
  <c r="AC57" i="43"/>
  <c r="Z57" i="43"/>
  <c r="Y57" i="43"/>
  <c r="O57" i="43"/>
  <c r="K57" i="43"/>
  <c r="V56" i="43"/>
  <c r="M56" i="43" s="1"/>
  <c r="U56" i="43"/>
  <c r="O56" i="43"/>
  <c r="K56" i="43"/>
  <c r="G56" i="43"/>
  <c r="V55" i="43"/>
  <c r="M55" i="43" s="1"/>
  <c r="U55" i="43"/>
  <c r="O55" i="43"/>
  <c r="K55" i="43"/>
  <c r="G55" i="43"/>
  <c r="V54" i="43"/>
  <c r="M54" i="43" s="1"/>
  <c r="O54" i="43"/>
  <c r="K54" i="43"/>
  <c r="G54" i="43"/>
  <c r="AD53" i="43"/>
  <c r="AC53" i="43"/>
  <c r="Z53" i="43"/>
  <c r="Y53" i="43"/>
  <c r="O53" i="43"/>
  <c r="K53" i="43"/>
  <c r="V52" i="43"/>
  <c r="M52" i="43" s="1"/>
  <c r="U52" i="43"/>
  <c r="O52" i="43"/>
  <c r="K52" i="43"/>
  <c r="G52" i="43"/>
  <c r="V51" i="43"/>
  <c r="M51" i="43" s="1"/>
  <c r="U51" i="43"/>
  <c r="O51" i="43"/>
  <c r="K51" i="43"/>
  <c r="G51" i="43"/>
  <c r="V50" i="43"/>
  <c r="M50" i="43" s="1"/>
  <c r="U50" i="43"/>
  <c r="O50" i="43"/>
  <c r="K50" i="43"/>
  <c r="G50" i="43"/>
  <c r="V49" i="43"/>
  <c r="M49" i="43" s="1"/>
  <c r="U49" i="43"/>
  <c r="O49" i="43"/>
  <c r="K49" i="43"/>
  <c r="G49" i="43"/>
  <c r="V48" i="43"/>
  <c r="M48" i="43" s="1"/>
  <c r="U48" i="43"/>
  <c r="O48" i="43"/>
  <c r="K48" i="43"/>
  <c r="G48" i="43"/>
  <c r="V47" i="43"/>
  <c r="M47" i="43" s="1"/>
  <c r="AF47" i="43" s="1"/>
  <c r="U47" i="43"/>
  <c r="O47" i="43"/>
  <c r="K47" i="43"/>
  <c r="G47" i="43"/>
  <c r="V46" i="43"/>
  <c r="M46" i="43" s="1"/>
  <c r="AF46" i="43" s="1"/>
  <c r="O46" i="43"/>
  <c r="K46" i="43"/>
  <c r="G46" i="43"/>
  <c r="AD45" i="43"/>
  <c r="H21" i="42" s="1"/>
  <c r="AC45" i="43"/>
  <c r="Z45" i="43"/>
  <c r="Y45" i="43"/>
  <c r="O45" i="43"/>
  <c r="K45" i="43"/>
  <c r="V44" i="43"/>
  <c r="U44" i="43"/>
  <c r="O44" i="43"/>
  <c r="M44" i="43"/>
  <c r="AF44" i="43" s="1"/>
  <c r="K44" i="43"/>
  <c r="G44" i="43"/>
  <c r="X43" i="43"/>
  <c r="W43" i="43"/>
  <c r="V43" i="43"/>
  <c r="U43" i="43"/>
  <c r="O43" i="43"/>
  <c r="M43" i="43"/>
  <c r="AF43" i="43" s="1"/>
  <c r="K43" i="43"/>
  <c r="G43" i="43"/>
  <c r="V42" i="43"/>
  <c r="U42" i="43"/>
  <c r="O42" i="43"/>
  <c r="M42" i="43"/>
  <c r="AF42" i="43" s="1"/>
  <c r="K42" i="43"/>
  <c r="G42" i="43"/>
  <c r="V41" i="43"/>
  <c r="M41" i="43" s="1"/>
  <c r="U41" i="43"/>
  <c r="O41" i="43"/>
  <c r="K41" i="43"/>
  <c r="G41" i="43"/>
  <c r="V40" i="43"/>
  <c r="M40" i="43" s="1"/>
  <c r="AF40" i="43" s="1"/>
  <c r="U40" i="43"/>
  <c r="O40" i="43"/>
  <c r="K40" i="43"/>
  <c r="G40" i="43"/>
  <c r="V39" i="43"/>
  <c r="U39" i="43"/>
  <c r="O39" i="43"/>
  <c r="M39" i="43"/>
  <c r="AE39" i="43" s="1"/>
  <c r="K39" i="43"/>
  <c r="G39" i="43"/>
  <c r="X38" i="43"/>
  <c r="W38" i="43"/>
  <c r="V38" i="43"/>
  <c r="M38" i="43" s="1"/>
  <c r="N38" i="43" s="1"/>
  <c r="U38" i="43"/>
  <c r="O38" i="43"/>
  <c r="K38" i="43"/>
  <c r="G38" i="43"/>
  <c r="V37" i="43"/>
  <c r="O37" i="43"/>
  <c r="M37" i="43"/>
  <c r="K37" i="43"/>
  <c r="G37" i="43"/>
  <c r="AD36" i="43"/>
  <c r="AC36" i="43"/>
  <c r="Z36" i="43"/>
  <c r="Y36" i="43"/>
  <c r="O36" i="43"/>
  <c r="K36" i="43"/>
  <c r="V35" i="43"/>
  <c r="M35" i="43" s="1"/>
  <c r="U35" i="43"/>
  <c r="O35" i="43"/>
  <c r="K35" i="43"/>
  <c r="G35" i="43"/>
  <c r="X34" i="43"/>
  <c r="W34" i="43"/>
  <c r="V34" i="43"/>
  <c r="U34" i="43"/>
  <c r="O34" i="43"/>
  <c r="M34" i="43"/>
  <c r="N34" i="43" s="1"/>
  <c r="K34" i="43"/>
  <c r="G34" i="43"/>
  <c r="V33" i="43"/>
  <c r="M33" i="43" s="1"/>
  <c r="U33" i="43"/>
  <c r="O33" i="43"/>
  <c r="K33" i="43"/>
  <c r="G33" i="43"/>
  <c r="AE32" i="43"/>
  <c r="V32" i="43"/>
  <c r="U32" i="43"/>
  <c r="O32" i="43"/>
  <c r="M32" i="43"/>
  <c r="N32" i="43" s="1"/>
  <c r="K32" i="43"/>
  <c r="G32" i="43"/>
  <c r="V31" i="43"/>
  <c r="M31" i="43" s="1"/>
  <c r="U31" i="43"/>
  <c r="O31" i="43"/>
  <c r="K31" i="43"/>
  <c r="G31" i="43"/>
  <c r="X30" i="43"/>
  <c r="W30" i="43"/>
  <c r="V30" i="43"/>
  <c r="M30" i="43" s="1"/>
  <c r="O30" i="43"/>
  <c r="K30" i="43"/>
  <c r="G30" i="43"/>
  <c r="AD29" i="43"/>
  <c r="AC29" i="43"/>
  <c r="Z29" i="43"/>
  <c r="Y29" i="43"/>
  <c r="O29" i="43"/>
  <c r="K29" i="43"/>
  <c r="AE28" i="43"/>
  <c r="V28" i="43"/>
  <c r="U28" i="43"/>
  <c r="O28" i="43"/>
  <c r="M28" i="43"/>
  <c r="N28" i="43" s="1"/>
  <c r="K28" i="43"/>
  <c r="G28" i="43"/>
  <c r="V27" i="43"/>
  <c r="M27" i="43" s="1"/>
  <c r="U27" i="43"/>
  <c r="O27" i="43"/>
  <c r="K27" i="43"/>
  <c r="G27" i="43"/>
  <c r="V26" i="43"/>
  <c r="M26" i="43" s="1"/>
  <c r="U26" i="43"/>
  <c r="O26" i="43"/>
  <c r="K26" i="43"/>
  <c r="G26" i="43"/>
  <c r="V25" i="43"/>
  <c r="M25" i="43" s="1"/>
  <c r="U25" i="43"/>
  <c r="O25" i="43"/>
  <c r="K25" i="43"/>
  <c r="G25" i="43"/>
  <c r="X24" i="43"/>
  <c r="W24" i="43"/>
  <c r="V24" i="43"/>
  <c r="M24" i="43" s="1"/>
  <c r="O24" i="43"/>
  <c r="K24" i="43"/>
  <c r="G24" i="43"/>
  <c r="AD23" i="43"/>
  <c r="AC23" i="43"/>
  <c r="Z23" i="43"/>
  <c r="Y23" i="43"/>
  <c r="O23" i="43"/>
  <c r="K23" i="43"/>
  <c r="V22" i="43"/>
  <c r="M22" i="43" s="1"/>
  <c r="U22" i="43"/>
  <c r="O22" i="43"/>
  <c r="K22" i="43"/>
  <c r="G22" i="43"/>
  <c r="V21" i="43"/>
  <c r="M21" i="43" s="1"/>
  <c r="U21" i="43"/>
  <c r="O21" i="43"/>
  <c r="K21" i="43"/>
  <c r="G21" i="43"/>
  <c r="V20" i="43"/>
  <c r="M20" i="43" s="1"/>
  <c r="U20" i="43"/>
  <c r="O20" i="43"/>
  <c r="K20" i="43"/>
  <c r="G20" i="43"/>
  <c r="V19" i="43"/>
  <c r="M19" i="43" s="1"/>
  <c r="U19" i="43"/>
  <c r="O19" i="43"/>
  <c r="K19" i="43"/>
  <c r="G19" i="43"/>
  <c r="V18" i="43"/>
  <c r="M18" i="43" s="1"/>
  <c r="O18" i="43"/>
  <c r="K18" i="43"/>
  <c r="G18" i="43"/>
  <c r="AD17" i="43"/>
  <c r="AC17" i="43"/>
  <c r="Z17" i="43"/>
  <c r="Y17" i="43"/>
  <c r="O17" i="43"/>
  <c r="K17" i="43"/>
  <c r="V16" i="43"/>
  <c r="M16" i="43" s="1"/>
  <c r="U16" i="43"/>
  <c r="O16" i="43"/>
  <c r="K16" i="43"/>
  <c r="G16" i="43"/>
  <c r="V15" i="43"/>
  <c r="U15" i="43"/>
  <c r="O15" i="43"/>
  <c r="M15" i="43"/>
  <c r="AF15" i="43" s="1"/>
  <c r="K15" i="43"/>
  <c r="G15" i="43"/>
  <c r="V14" i="43"/>
  <c r="M14" i="43" s="1"/>
  <c r="U14" i="43"/>
  <c r="O14" i="43"/>
  <c r="K14" i="43"/>
  <c r="G14" i="43"/>
  <c r="V13" i="43"/>
  <c r="O13" i="43"/>
  <c r="M13" i="43"/>
  <c r="N13" i="43" s="1"/>
  <c r="Q13" i="43" s="1"/>
  <c r="K13" i="43"/>
  <c r="G13" i="43"/>
  <c r="AD12" i="43"/>
  <c r="E21" i="42" s="1"/>
  <c r="AC12" i="43"/>
  <c r="E20" i="42" s="1"/>
  <c r="Z12" i="43"/>
  <c r="Z2" i="43" s="1"/>
  <c r="L6" i="42" s="1"/>
  <c r="Y12" i="43"/>
  <c r="E18" i="42" s="1"/>
  <c r="O12" i="43"/>
  <c r="K12" i="43"/>
  <c r="V11" i="43"/>
  <c r="U11" i="43"/>
  <c r="O11" i="43"/>
  <c r="M11" i="43"/>
  <c r="AF11" i="43" s="1"/>
  <c r="K11" i="43"/>
  <c r="G11" i="43"/>
  <c r="V10" i="43"/>
  <c r="M10" i="43" s="1"/>
  <c r="AF10" i="43" s="1"/>
  <c r="O10" i="43"/>
  <c r="K10" i="43"/>
  <c r="G10" i="43"/>
  <c r="AD9" i="43"/>
  <c r="AD2" i="43" s="1"/>
  <c r="N6" i="42" s="1"/>
  <c r="AC9" i="43"/>
  <c r="Z9" i="43"/>
  <c r="Y9" i="43"/>
  <c r="Y2" i="43" s="1"/>
  <c r="K6" i="42" s="1"/>
  <c r="O9" i="43"/>
  <c r="K9" i="43"/>
  <c r="V8" i="43"/>
  <c r="M8" i="43" s="1"/>
  <c r="AF8" i="43" s="1"/>
  <c r="U8" i="43"/>
  <c r="O8" i="43"/>
  <c r="K8" i="43"/>
  <c r="G8" i="43"/>
  <c r="V7" i="43"/>
  <c r="M7" i="43" s="1"/>
  <c r="U7" i="43"/>
  <c r="O7" i="43"/>
  <c r="K7" i="43"/>
  <c r="G7" i="43"/>
  <c r="AF6" i="43"/>
  <c r="V6" i="43"/>
  <c r="U6" i="43"/>
  <c r="O6" i="43"/>
  <c r="M6" i="43"/>
  <c r="N6" i="43" s="1"/>
  <c r="K6" i="43"/>
  <c r="G6" i="43"/>
  <c r="V5" i="43"/>
  <c r="M5" i="43" s="1"/>
  <c r="O5" i="43"/>
  <c r="K5" i="43"/>
  <c r="G5" i="43"/>
  <c r="AC2" i="43"/>
  <c r="H2" i="43"/>
  <c r="H1" i="43"/>
  <c r="D1" i="43"/>
  <c r="M22" i="42"/>
  <c r="L22" i="42"/>
  <c r="K22" i="42"/>
  <c r="J22" i="42"/>
  <c r="I22" i="42"/>
  <c r="H22" i="42"/>
  <c r="G22" i="42"/>
  <c r="F22" i="42"/>
  <c r="E22" i="42"/>
  <c r="D22" i="42"/>
  <c r="M21" i="42"/>
  <c r="L21" i="42"/>
  <c r="K21" i="42"/>
  <c r="J21" i="42"/>
  <c r="I21" i="42"/>
  <c r="G21" i="42"/>
  <c r="F21" i="42"/>
  <c r="D21" i="42"/>
  <c r="M20" i="42"/>
  <c r="L20" i="42"/>
  <c r="K20" i="42"/>
  <c r="J20" i="42"/>
  <c r="I20" i="42"/>
  <c r="H20" i="42"/>
  <c r="G20" i="42"/>
  <c r="F20" i="42"/>
  <c r="D20" i="42"/>
  <c r="M19" i="42"/>
  <c r="L19" i="42"/>
  <c r="K19" i="42"/>
  <c r="J19" i="42"/>
  <c r="I19" i="42"/>
  <c r="H19" i="42"/>
  <c r="G19" i="42"/>
  <c r="F19" i="42"/>
  <c r="D19" i="42"/>
  <c r="M18" i="42"/>
  <c r="L18" i="42"/>
  <c r="K18" i="42"/>
  <c r="J18" i="42"/>
  <c r="I18" i="42"/>
  <c r="H18" i="42"/>
  <c r="G18" i="42"/>
  <c r="F18" i="42"/>
  <c r="M17" i="42"/>
  <c r="L17" i="42"/>
  <c r="K17" i="42"/>
  <c r="J17" i="42"/>
  <c r="I17" i="42"/>
  <c r="H17" i="42"/>
  <c r="G17" i="42"/>
  <c r="F17" i="42"/>
  <c r="E17" i="42"/>
  <c r="D17" i="42"/>
  <c r="M16" i="42"/>
  <c r="L16" i="42"/>
  <c r="K16" i="42"/>
  <c r="J16" i="42"/>
  <c r="I16" i="42"/>
  <c r="H16" i="42"/>
  <c r="G16" i="42"/>
  <c r="F16" i="42"/>
  <c r="E16" i="42"/>
  <c r="D16" i="42"/>
  <c r="M13" i="42"/>
  <c r="L13" i="42"/>
  <c r="K13" i="42"/>
  <c r="I6" i="42" s="1"/>
  <c r="J13" i="42"/>
  <c r="I13" i="42"/>
  <c r="H13" i="42"/>
  <c r="F6" i="42" s="1"/>
  <c r="G13" i="42"/>
  <c r="F13" i="42"/>
  <c r="E13" i="42"/>
  <c r="D13" i="42"/>
  <c r="M6" i="42"/>
  <c r="F3" i="42"/>
  <c r="C3" i="42"/>
  <c r="AE61" i="43" l="1"/>
  <c r="AF61" i="43"/>
  <c r="AF14" i="43"/>
  <c r="N14" i="43"/>
  <c r="Q14" i="43" s="1"/>
  <c r="N58" i="43"/>
  <c r="AF58" i="43"/>
  <c r="AE58" i="43"/>
  <c r="N56" i="43"/>
  <c r="Q56" i="43" s="1"/>
  <c r="AF56" i="43"/>
  <c r="AE56" i="43"/>
  <c r="AE7" i="43"/>
  <c r="N7" i="43"/>
  <c r="Q7" i="43" s="1"/>
  <c r="AF7" i="43"/>
  <c r="N5" i="43"/>
  <c r="AF5" i="43"/>
  <c r="AE5" i="43"/>
  <c r="AF41" i="43"/>
  <c r="N41" i="43"/>
  <c r="Q41" i="43" s="1"/>
  <c r="AE35" i="43"/>
  <c r="AF35" i="43"/>
  <c r="AE33" i="43"/>
  <c r="AF33" i="43"/>
  <c r="N30" i="43"/>
  <c r="AF30" i="43"/>
  <c r="AE30" i="43"/>
  <c r="AF28" i="43"/>
  <c r="P56" i="45"/>
  <c r="Q56" i="45"/>
  <c r="D18" i="42"/>
  <c r="AE60" i="43"/>
  <c r="Q7" i="45"/>
  <c r="P7" i="45"/>
  <c r="Q5" i="45"/>
  <c r="P5" i="45"/>
  <c r="AF60" i="43"/>
  <c r="AF9" i="45"/>
  <c r="AG5" i="45" s="1"/>
  <c r="AE9" i="45"/>
  <c r="N9" i="45"/>
  <c r="N35" i="45"/>
  <c r="AF35" i="45"/>
  <c r="AG30" i="45" s="1"/>
  <c r="AE35" i="45"/>
  <c r="N15" i="43"/>
  <c r="P40" i="45"/>
  <c r="AE51" i="45"/>
  <c r="AF51" i="45"/>
  <c r="AG44" i="45" s="1"/>
  <c r="Q47" i="45"/>
  <c r="P47" i="45"/>
  <c r="Q60" i="45"/>
  <c r="P60" i="45"/>
  <c r="AF32" i="43"/>
  <c r="P57" i="45"/>
  <c r="Q31" i="45"/>
  <c r="P31" i="45"/>
  <c r="Q58" i="45"/>
  <c r="P58" i="45"/>
  <c r="Q18" i="45"/>
  <c r="P18" i="45"/>
  <c r="Q37" i="45"/>
  <c r="P37" i="45"/>
  <c r="AE6" i="43"/>
  <c r="Q16" i="45"/>
  <c r="P16" i="45"/>
  <c r="P54" i="45"/>
  <c r="Q54" i="45"/>
  <c r="N23" i="45"/>
  <c r="AF23" i="45"/>
  <c r="AG18" i="45" s="1"/>
  <c r="AE23" i="45"/>
  <c r="P38" i="45"/>
  <c r="Q38" i="45"/>
  <c r="E19" i="42"/>
  <c r="Q39" i="45"/>
  <c r="Q53" i="45"/>
  <c r="P53" i="45"/>
  <c r="Q42" i="45"/>
  <c r="P42" i="45"/>
  <c r="Q59" i="45"/>
  <c r="P59" i="45"/>
  <c r="P41" i="45"/>
  <c r="P8" i="45"/>
  <c r="Q8" i="45"/>
  <c r="Q21" i="45"/>
  <c r="P21" i="45"/>
  <c r="AF39" i="43"/>
  <c r="N12" i="45"/>
  <c r="AF12" i="45"/>
  <c r="AG10" i="45" s="1"/>
  <c r="AE12" i="45"/>
  <c r="AF55" i="45"/>
  <c r="AG52" i="45" s="1"/>
  <c r="AE55" i="45"/>
  <c r="N55" i="45"/>
  <c r="D2" i="45" s="1"/>
  <c r="P32" i="45"/>
  <c r="P20" i="45"/>
  <c r="Q10" i="45"/>
  <c r="P10" i="45"/>
  <c r="F1" i="43"/>
  <c r="M45" i="43"/>
  <c r="N43" i="43"/>
  <c r="D15" i="48"/>
  <c r="G7" i="48"/>
  <c r="F7" i="48"/>
  <c r="E7" i="48"/>
  <c r="I7" i="48"/>
  <c r="K15" i="48"/>
  <c r="I8" i="48" s="1"/>
  <c r="D15" i="46"/>
  <c r="Q43" i="47"/>
  <c r="R36" i="47" s="1"/>
  <c r="P43" i="47"/>
  <c r="H14" i="46"/>
  <c r="H15" i="46" s="1"/>
  <c r="D2" i="47"/>
  <c r="P51" i="47"/>
  <c r="I14" i="46"/>
  <c r="I15" i="46" s="1"/>
  <c r="Q51" i="47"/>
  <c r="R44" i="47" s="1"/>
  <c r="P35" i="47"/>
  <c r="L14" i="46"/>
  <c r="L15" i="46" s="1"/>
  <c r="Q35" i="47"/>
  <c r="R30" i="47" s="1"/>
  <c r="Q55" i="47"/>
  <c r="R52" i="47" s="1"/>
  <c r="P55" i="47"/>
  <c r="J14" i="46"/>
  <c r="J15" i="46" s="1"/>
  <c r="Q61" i="47"/>
  <c r="R56" i="47" s="1"/>
  <c r="P61" i="47"/>
  <c r="M14" i="46"/>
  <c r="M15" i="46" s="1"/>
  <c r="Q17" i="47"/>
  <c r="R13" i="47" s="1"/>
  <c r="P17" i="47"/>
  <c r="F14" i="46"/>
  <c r="F15" i="46" s="1"/>
  <c r="Q23" i="47"/>
  <c r="R18" i="47" s="1"/>
  <c r="P23" i="47"/>
  <c r="G14" i="46"/>
  <c r="G15" i="46" s="1"/>
  <c r="K15" i="46"/>
  <c r="Q46" i="45"/>
  <c r="P46" i="45"/>
  <c r="F14" i="44"/>
  <c r="Q17" i="45"/>
  <c r="R13" i="45" s="1"/>
  <c r="P17" i="45"/>
  <c r="M14" i="44"/>
  <c r="M15" i="44" s="1"/>
  <c r="Q61" i="45"/>
  <c r="R56" i="45" s="1"/>
  <c r="P61" i="45"/>
  <c r="P51" i="45"/>
  <c r="Q51" i="45"/>
  <c r="R44" i="45" s="1"/>
  <c r="I14" i="44"/>
  <c r="I15" i="44" s="1"/>
  <c r="H14" i="44"/>
  <c r="H15" i="44" s="1"/>
  <c r="Q43" i="45"/>
  <c r="R36" i="45" s="1"/>
  <c r="P43" i="45"/>
  <c r="K14" i="44"/>
  <c r="Q29" i="45"/>
  <c r="R24" i="45" s="1"/>
  <c r="P29" i="45"/>
  <c r="N25" i="43"/>
  <c r="AF25" i="43"/>
  <c r="AE25" i="43"/>
  <c r="AF16" i="43"/>
  <c r="AE16" i="43"/>
  <c r="N16" i="43"/>
  <c r="Q28" i="43"/>
  <c r="P28" i="43"/>
  <c r="N54" i="43"/>
  <c r="M57" i="43"/>
  <c r="AF54" i="43"/>
  <c r="AE54" i="43"/>
  <c r="M17" i="43"/>
  <c r="N21" i="43"/>
  <c r="AF21" i="43"/>
  <c r="AE21" i="43"/>
  <c r="N31" i="43"/>
  <c r="AF31" i="43"/>
  <c r="AE31" i="43"/>
  <c r="Q6" i="43"/>
  <c r="P6" i="43"/>
  <c r="N24" i="43"/>
  <c r="AF24" i="43"/>
  <c r="M29" i="43"/>
  <c r="AE24" i="43"/>
  <c r="N26" i="43"/>
  <c r="AF26" i="43"/>
  <c r="AE26" i="43"/>
  <c r="Q32" i="43"/>
  <c r="P32" i="43"/>
  <c r="AF45" i="43"/>
  <c r="AG37" i="43" s="1"/>
  <c r="AE45" i="43"/>
  <c r="N45" i="43"/>
  <c r="N50" i="43"/>
  <c r="AF50" i="43"/>
  <c r="AE50" i="43"/>
  <c r="N55" i="43"/>
  <c r="AF55" i="43"/>
  <c r="AE55" i="43"/>
  <c r="N18" i="43"/>
  <c r="AF18" i="43"/>
  <c r="M23" i="43"/>
  <c r="AE18" i="43"/>
  <c r="N22" i="43"/>
  <c r="AF22" i="43"/>
  <c r="AE22" i="43"/>
  <c r="AF48" i="43"/>
  <c r="AE48" i="43"/>
  <c r="N48" i="43"/>
  <c r="F2" i="43"/>
  <c r="I3" i="42"/>
  <c r="Q34" i="43"/>
  <c r="P34" i="43"/>
  <c r="Q30" i="43"/>
  <c r="P30" i="43"/>
  <c r="N19" i="43"/>
  <c r="AF19" i="43"/>
  <c r="AE19" i="43"/>
  <c r="N20" i="43"/>
  <c r="AF20" i="43"/>
  <c r="AE20" i="43"/>
  <c r="N52" i="43"/>
  <c r="AF52" i="43"/>
  <c r="AE52" i="43"/>
  <c r="Q5" i="43"/>
  <c r="P5" i="43"/>
  <c r="N27" i="43"/>
  <c r="AF27" i="43"/>
  <c r="AE27" i="43"/>
  <c r="Q38" i="43"/>
  <c r="P38" i="43"/>
  <c r="N51" i="43"/>
  <c r="AF51" i="43"/>
  <c r="AE51" i="43"/>
  <c r="N59" i="43"/>
  <c r="AF59" i="43"/>
  <c r="M63" i="43"/>
  <c r="AE59" i="43"/>
  <c r="Q58" i="43"/>
  <c r="P58" i="43"/>
  <c r="N49" i="43"/>
  <c r="AF49" i="43"/>
  <c r="AE49" i="43"/>
  <c r="Q60" i="43"/>
  <c r="P60" i="43"/>
  <c r="M12" i="43"/>
  <c r="AE34" i="43"/>
  <c r="AE38" i="43"/>
  <c r="M9" i="43"/>
  <c r="AF34" i="43"/>
  <c r="AF38" i="43"/>
  <c r="N46" i="43"/>
  <c r="N47" i="43"/>
  <c r="M36" i="43"/>
  <c r="N42" i="43"/>
  <c r="N44" i="43"/>
  <c r="E6" i="42"/>
  <c r="G6" i="42"/>
  <c r="N10" i="43"/>
  <c r="N11" i="43"/>
  <c r="N8" i="43"/>
  <c r="P13" i="43"/>
  <c r="P14" i="43"/>
  <c r="N37" i="43"/>
  <c r="N40" i="43"/>
  <c r="N62" i="43"/>
  <c r="N33" i="43"/>
  <c r="N35" i="43"/>
  <c r="N39" i="43"/>
  <c r="P41" i="43"/>
  <c r="M53" i="43"/>
  <c r="N61" i="43"/>
  <c r="P7" i="43"/>
  <c r="AE15" i="43"/>
  <c r="AE46" i="43"/>
  <c r="AE47" i="43"/>
  <c r="AE13" i="43"/>
  <c r="AE14" i="43"/>
  <c r="AE42" i="43"/>
  <c r="AE44" i="43"/>
  <c r="AE10" i="43"/>
  <c r="AE11" i="43"/>
  <c r="AF13" i="43"/>
  <c r="AE41" i="43"/>
  <c r="AE43" i="43"/>
  <c r="AE8" i="43"/>
  <c r="AE37" i="43"/>
  <c r="AE40" i="43"/>
  <c r="AE62" i="43"/>
  <c r="AF37" i="43"/>
  <c r="AD67" i="41"/>
  <c r="Z67" i="41"/>
  <c r="Y67" i="41"/>
  <c r="O67" i="41"/>
  <c r="K67" i="41"/>
  <c r="V66" i="41"/>
  <c r="M66" i="41" s="1"/>
  <c r="U66" i="41"/>
  <c r="O66" i="41"/>
  <c r="K66" i="41"/>
  <c r="G66" i="41"/>
  <c r="X65" i="41"/>
  <c r="W65" i="41"/>
  <c r="V65" i="41"/>
  <c r="M65" i="41" s="1"/>
  <c r="U65" i="41"/>
  <c r="O65" i="41"/>
  <c r="K65" i="41"/>
  <c r="G65" i="41"/>
  <c r="V64" i="41"/>
  <c r="M64" i="41" s="1"/>
  <c r="U64" i="41"/>
  <c r="O64" i="41"/>
  <c r="K64" i="41"/>
  <c r="G64" i="41"/>
  <c r="V63" i="41"/>
  <c r="M63" i="41" s="1"/>
  <c r="U63" i="41"/>
  <c r="O63" i="41"/>
  <c r="K63" i="41"/>
  <c r="G63" i="41"/>
  <c r="V62" i="41"/>
  <c r="M62" i="41" s="1"/>
  <c r="U62" i="41"/>
  <c r="O62" i="41"/>
  <c r="K62" i="41"/>
  <c r="G62" i="41"/>
  <c r="X61" i="41"/>
  <c r="W61" i="41"/>
  <c r="V61" i="41"/>
  <c r="O61" i="41"/>
  <c r="M61" i="41"/>
  <c r="N61" i="41" s="1"/>
  <c r="K61" i="41"/>
  <c r="G61" i="41"/>
  <c r="AD60" i="41"/>
  <c r="Z60" i="41"/>
  <c r="Y60" i="41"/>
  <c r="O60" i="41"/>
  <c r="K60" i="41"/>
  <c r="V59" i="41"/>
  <c r="M59" i="41" s="1"/>
  <c r="U59" i="41"/>
  <c r="O59" i="41"/>
  <c r="K59" i="41"/>
  <c r="G59" i="41"/>
  <c r="V58" i="41"/>
  <c r="M58" i="41" s="1"/>
  <c r="U58" i="41"/>
  <c r="O58" i="41"/>
  <c r="K58" i="41"/>
  <c r="G58" i="41"/>
  <c r="V57" i="41"/>
  <c r="M57" i="41" s="1"/>
  <c r="O57" i="41"/>
  <c r="K57" i="41"/>
  <c r="G57" i="41"/>
  <c r="AD56" i="41"/>
  <c r="Z56" i="41"/>
  <c r="I19" i="40" s="1"/>
  <c r="Y56" i="41"/>
  <c r="I18" i="40" s="1"/>
  <c r="O56" i="41"/>
  <c r="K56" i="41"/>
  <c r="V55" i="41"/>
  <c r="M55" i="41" s="1"/>
  <c r="U55" i="41"/>
  <c r="O55" i="41"/>
  <c r="K55" i="41"/>
  <c r="G55" i="41"/>
  <c r="V54" i="41"/>
  <c r="M54" i="41" s="1"/>
  <c r="U54" i="41"/>
  <c r="O54" i="41"/>
  <c r="K54" i="41"/>
  <c r="G54" i="41"/>
  <c r="V53" i="41"/>
  <c r="M53" i="41" s="1"/>
  <c r="U53" i="41"/>
  <c r="O53" i="41"/>
  <c r="K53" i="41"/>
  <c r="G53" i="41"/>
  <c r="V52" i="41"/>
  <c r="M52" i="41" s="1"/>
  <c r="AF52" i="41" s="1"/>
  <c r="U52" i="41"/>
  <c r="O52" i="41"/>
  <c r="K52" i="41"/>
  <c r="G52" i="41"/>
  <c r="V51" i="41"/>
  <c r="M51" i="41" s="1"/>
  <c r="AF51" i="41" s="1"/>
  <c r="U51" i="41"/>
  <c r="O51" i="41"/>
  <c r="K51" i="41"/>
  <c r="G51" i="41"/>
  <c r="V50" i="41"/>
  <c r="U50" i="41"/>
  <c r="O50" i="41"/>
  <c r="M50" i="41"/>
  <c r="AF50" i="41" s="1"/>
  <c r="K50" i="41"/>
  <c r="G50" i="41"/>
  <c r="V49" i="41"/>
  <c r="U49" i="41"/>
  <c r="O49" i="41"/>
  <c r="M49" i="41"/>
  <c r="AF49" i="41" s="1"/>
  <c r="K49" i="41"/>
  <c r="G49" i="41"/>
  <c r="V48" i="41"/>
  <c r="O48" i="41"/>
  <c r="M48" i="41"/>
  <c r="AF48" i="41" s="1"/>
  <c r="K48" i="41"/>
  <c r="G48" i="41"/>
  <c r="AD47" i="41"/>
  <c r="Z47" i="41"/>
  <c r="Y47" i="41"/>
  <c r="O47" i="41"/>
  <c r="K47" i="41"/>
  <c r="V46" i="41"/>
  <c r="M46" i="41" s="1"/>
  <c r="U46" i="41"/>
  <c r="O46" i="41"/>
  <c r="K46" i="41"/>
  <c r="G46" i="41"/>
  <c r="X45" i="41"/>
  <c r="W45" i="41"/>
  <c r="V45" i="41"/>
  <c r="M45" i="41" s="1"/>
  <c r="U45" i="41"/>
  <c r="O45" i="41"/>
  <c r="K45" i="41"/>
  <c r="G45" i="41"/>
  <c r="V44" i="41"/>
  <c r="M44" i="41" s="1"/>
  <c r="U44" i="41"/>
  <c r="O44" i="41"/>
  <c r="K44" i="41"/>
  <c r="G44" i="41"/>
  <c r="V43" i="41"/>
  <c r="M43" i="41" s="1"/>
  <c r="U43" i="41"/>
  <c r="O43" i="41"/>
  <c r="K43" i="41"/>
  <c r="G43" i="41"/>
  <c r="V42" i="41"/>
  <c r="M42" i="41" s="1"/>
  <c r="U42" i="41"/>
  <c r="O42" i="41"/>
  <c r="K42" i="41"/>
  <c r="G42" i="41"/>
  <c r="V41" i="41"/>
  <c r="M41" i="41" s="1"/>
  <c r="U41" i="41"/>
  <c r="O41" i="41"/>
  <c r="K41" i="41"/>
  <c r="G41" i="41"/>
  <c r="X40" i="41"/>
  <c r="W40" i="41"/>
  <c r="V40" i="41"/>
  <c r="M40" i="41" s="1"/>
  <c r="U40" i="41"/>
  <c r="O40" i="41"/>
  <c r="K40" i="41"/>
  <c r="G40" i="41"/>
  <c r="V39" i="41"/>
  <c r="M39" i="41" s="1"/>
  <c r="O39" i="41"/>
  <c r="K39" i="41"/>
  <c r="G39" i="41"/>
  <c r="AD38" i="41"/>
  <c r="L21" i="40" s="1"/>
  <c r="Z38" i="41"/>
  <c r="L19" i="40" s="1"/>
  <c r="Y38" i="41"/>
  <c r="L18" i="40" s="1"/>
  <c r="O38" i="41"/>
  <c r="K38" i="41"/>
  <c r="V37" i="41"/>
  <c r="M37" i="41" s="1"/>
  <c r="U37" i="41"/>
  <c r="O37" i="41"/>
  <c r="K37" i="41"/>
  <c r="G37" i="41"/>
  <c r="V36" i="41"/>
  <c r="M36" i="41" s="1"/>
  <c r="U36" i="41"/>
  <c r="O36" i="41"/>
  <c r="K36" i="41"/>
  <c r="G36" i="41"/>
  <c r="X35" i="41"/>
  <c r="W35" i="41"/>
  <c r="V35" i="41"/>
  <c r="M35" i="41" s="1"/>
  <c r="U35" i="41"/>
  <c r="O35" i="41"/>
  <c r="K35" i="41"/>
  <c r="G35" i="41"/>
  <c r="V34" i="41"/>
  <c r="M34" i="41" s="1"/>
  <c r="U34" i="41"/>
  <c r="O34" i="41"/>
  <c r="K34" i="41"/>
  <c r="G34" i="41"/>
  <c r="V33" i="41"/>
  <c r="M33" i="41" s="1"/>
  <c r="U33" i="41"/>
  <c r="O33" i="41"/>
  <c r="K33" i="41"/>
  <c r="G33" i="41"/>
  <c r="V32" i="41"/>
  <c r="U32" i="41"/>
  <c r="O32" i="41"/>
  <c r="M32" i="41"/>
  <c r="AF32" i="41" s="1"/>
  <c r="K32" i="41"/>
  <c r="G32" i="41"/>
  <c r="X31" i="41"/>
  <c r="W31" i="41"/>
  <c r="V31" i="41"/>
  <c r="M31" i="41" s="1"/>
  <c r="O31" i="41"/>
  <c r="K31" i="41"/>
  <c r="G31" i="41"/>
  <c r="AD30" i="41"/>
  <c r="Z30" i="41"/>
  <c r="Y30" i="41"/>
  <c r="O30" i="41"/>
  <c r="K30" i="41"/>
  <c r="V29" i="41"/>
  <c r="M29" i="41" s="1"/>
  <c r="AF29" i="41" s="1"/>
  <c r="U29" i="41"/>
  <c r="O29" i="41"/>
  <c r="K29" i="41"/>
  <c r="G29" i="41"/>
  <c r="X28" i="41"/>
  <c r="W28" i="41"/>
  <c r="V28" i="41"/>
  <c r="M28" i="41" s="1"/>
  <c r="U28" i="41"/>
  <c r="O28" i="41"/>
  <c r="K28" i="41"/>
  <c r="G28" i="41"/>
  <c r="V27" i="41"/>
  <c r="M27" i="41" s="1"/>
  <c r="AF27" i="41" s="1"/>
  <c r="U27" i="41"/>
  <c r="O27" i="41"/>
  <c r="K27" i="41"/>
  <c r="G27" i="41"/>
  <c r="V26" i="41"/>
  <c r="M26" i="41" s="1"/>
  <c r="AF26" i="41" s="1"/>
  <c r="U26" i="41"/>
  <c r="O26" i="41"/>
  <c r="K26" i="41"/>
  <c r="G26" i="41"/>
  <c r="V25" i="41"/>
  <c r="U25" i="41"/>
  <c r="O25" i="41"/>
  <c r="N25" i="41"/>
  <c r="Q25" i="41" s="1"/>
  <c r="M25" i="41"/>
  <c r="AF25" i="41" s="1"/>
  <c r="K25" i="41"/>
  <c r="G25" i="41"/>
  <c r="X24" i="41"/>
  <c r="W24" i="41"/>
  <c r="V24" i="41"/>
  <c r="M24" i="41" s="1"/>
  <c r="O24" i="41"/>
  <c r="K24" i="41"/>
  <c r="G24" i="41"/>
  <c r="AD23" i="41"/>
  <c r="G21" i="40" s="1"/>
  <c r="Z23" i="41"/>
  <c r="Y23" i="41"/>
  <c r="O23" i="41"/>
  <c r="K23" i="41"/>
  <c r="V22" i="41"/>
  <c r="U22" i="41"/>
  <c r="O22" i="41"/>
  <c r="N22" i="41"/>
  <c r="Q22" i="41" s="1"/>
  <c r="M22" i="41"/>
  <c r="AF22" i="41" s="1"/>
  <c r="K22" i="41"/>
  <c r="G22" i="41"/>
  <c r="V21" i="41"/>
  <c r="U21" i="41"/>
  <c r="O21" i="41"/>
  <c r="M21" i="41"/>
  <c r="AF21" i="41" s="1"/>
  <c r="K21" i="41"/>
  <c r="G21" i="41"/>
  <c r="V20" i="41"/>
  <c r="M20" i="41" s="1"/>
  <c r="U20" i="41"/>
  <c r="O20" i="41"/>
  <c r="K20" i="41"/>
  <c r="G20" i="41"/>
  <c r="AF19" i="41"/>
  <c r="V19" i="41"/>
  <c r="U19" i="41"/>
  <c r="O19" i="41"/>
  <c r="M19" i="41"/>
  <c r="N19" i="41" s="1"/>
  <c r="K19" i="41"/>
  <c r="G19" i="41"/>
  <c r="AE18" i="41"/>
  <c r="V18" i="41"/>
  <c r="O18" i="41"/>
  <c r="M18" i="41"/>
  <c r="N18" i="41" s="1"/>
  <c r="K18" i="41"/>
  <c r="G18" i="41"/>
  <c r="AD17" i="41"/>
  <c r="F21" i="40" s="1"/>
  <c r="Z17" i="41"/>
  <c r="F19" i="40" s="1"/>
  <c r="Y17" i="41"/>
  <c r="F18" i="40" s="1"/>
  <c r="O17" i="41"/>
  <c r="K17" i="41"/>
  <c r="V16" i="41"/>
  <c r="M16" i="41" s="1"/>
  <c r="U16" i="41"/>
  <c r="O16" i="41"/>
  <c r="K16" i="41"/>
  <c r="G16" i="41"/>
  <c r="V15" i="41"/>
  <c r="M15" i="41" s="1"/>
  <c r="U15" i="41"/>
  <c r="O15" i="41"/>
  <c r="K15" i="41"/>
  <c r="G15" i="41"/>
  <c r="V14" i="41"/>
  <c r="M14" i="41" s="1"/>
  <c r="U14" i="41"/>
  <c r="O14" i="41"/>
  <c r="K14" i="41"/>
  <c r="G14" i="41"/>
  <c r="V13" i="41"/>
  <c r="M13" i="41" s="1"/>
  <c r="O13" i="41"/>
  <c r="K13" i="41"/>
  <c r="G13" i="41"/>
  <c r="AD12" i="41"/>
  <c r="Z12" i="41"/>
  <c r="Y12" i="41"/>
  <c r="O12" i="41"/>
  <c r="K12" i="41"/>
  <c r="V11" i="41"/>
  <c r="M11" i="41" s="1"/>
  <c r="U11" i="41"/>
  <c r="O11" i="41"/>
  <c r="K11" i="41"/>
  <c r="G11" i="41"/>
  <c r="V10" i="41"/>
  <c r="M10" i="41" s="1"/>
  <c r="O10" i="41"/>
  <c r="K10" i="41"/>
  <c r="G10" i="41"/>
  <c r="AD9" i="41"/>
  <c r="Z9" i="41"/>
  <c r="Z2" i="41" s="1"/>
  <c r="L6" i="40" s="1"/>
  <c r="Y9" i="41"/>
  <c r="O9" i="41"/>
  <c r="K9" i="41"/>
  <c r="V8" i="41"/>
  <c r="M8" i="41" s="1"/>
  <c r="AF8" i="41" s="1"/>
  <c r="U8" i="41"/>
  <c r="O8" i="41"/>
  <c r="K8" i="41"/>
  <c r="G8" i="41"/>
  <c r="V7" i="41"/>
  <c r="M7" i="41" s="1"/>
  <c r="U7" i="41"/>
  <c r="O7" i="41"/>
  <c r="K7" i="41"/>
  <c r="G7" i="41"/>
  <c r="V6" i="41"/>
  <c r="M6" i="41" s="1"/>
  <c r="AF6" i="41" s="1"/>
  <c r="U6" i="41"/>
  <c r="O6" i="41"/>
  <c r="K6" i="41"/>
  <c r="G6" i="41"/>
  <c r="V5" i="41"/>
  <c r="M5" i="41" s="1"/>
  <c r="O5" i="41"/>
  <c r="K5" i="41"/>
  <c r="G5" i="41"/>
  <c r="AD2" i="41"/>
  <c r="N6" i="40" s="1"/>
  <c r="H2" i="41"/>
  <c r="H1" i="41"/>
  <c r="D1" i="41"/>
  <c r="M22" i="40"/>
  <c r="L22" i="40"/>
  <c r="K22" i="40"/>
  <c r="J22" i="40"/>
  <c r="I22" i="40"/>
  <c r="H22" i="40"/>
  <c r="G22" i="40"/>
  <c r="F22" i="40"/>
  <c r="E22" i="40"/>
  <c r="D22" i="40"/>
  <c r="M21" i="40"/>
  <c r="K21" i="40"/>
  <c r="J21" i="40"/>
  <c r="I21" i="40"/>
  <c r="H21" i="40"/>
  <c r="E21" i="40"/>
  <c r="D21" i="40"/>
  <c r="M20" i="40"/>
  <c r="L20" i="40"/>
  <c r="K20" i="40"/>
  <c r="J20" i="40"/>
  <c r="I20" i="40"/>
  <c r="H20" i="40"/>
  <c r="G20" i="40"/>
  <c r="F20" i="40"/>
  <c r="E20" i="40"/>
  <c r="D20" i="40"/>
  <c r="M19" i="40"/>
  <c r="K19" i="40"/>
  <c r="J19" i="40"/>
  <c r="H19" i="40"/>
  <c r="G19" i="40"/>
  <c r="E19" i="40"/>
  <c r="M18" i="40"/>
  <c r="K18" i="40"/>
  <c r="J18" i="40"/>
  <c r="H18" i="40"/>
  <c r="G18" i="40"/>
  <c r="E18" i="40"/>
  <c r="D18" i="40"/>
  <c r="M17" i="40"/>
  <c r="L17" i="40"/>
  <c r="K17" i="40"/>
  <c r="J17" i="40"/>
  <c r="I17" i="40"/>
  <c r="H17" i="40"/>
  <c r="G17" i="40"/>
  <c r="F17" i="40"/>
  <c r="E17" i="40"/>
  <c r="D17" i="40"/>
  <c r="M16" i="40"/>
  <c r="L16" i="40"/>
  <c r="K16" i="40"/>
  <c r="J16" i="40"/>
  <c r="I16" i="40"/>
  <c r="H16" i="40"/>
  <c r="G16" i="40"/>
  <c r="F16" i="40"/>
  <c r="E16" i="40"/>
  <c r="D16" i="40"/>
  <c r="M13" i="40"/>
  <c r="L13" i="40"/>
  <c r="K13" i="40"/>
  <c r="I6" i="40" s="1"/>
  <c r="J13" i="40"/>
  <c r="I13" i="40"/>
  <c r="H13" i="40"/>
  <c r="G6" i="40" s="1"/>
  <c r="G13" i="40"/>
  <c r="F13" i="40"/>
  <c r="E13" i="40"/>
  <c r="D13" i="40"/>
  <c r="M6" i="40"/>
  <c r="F3" i="40"/>
  <c r="C3" i="40"/>
  <c r="N44" i="41" l="1"/>
  <c r="AF44" i="41"/>
  <c r="AE44" i="41"/>
  <c r="N63" i="41"/>
  <c r="AF63" i="41"/>
  <c r="AE63" i="41"/>
  <c r="AF7" i="41"/>
  <c r="N7" i="41"/>
  <c r="Q7" i="41" s="1"/>
  <c r="AE20" i="41"/>
  <c r="AF20" i="41"/>
  <c r="N45" i="41"/>
  <c r="AF45" i="41"/>
  <c r="AE45" i="41"/>
  <c r="AE64" i="41"/>
  <c r="AF64" i="41"/>
  <c r="AE66" i="41"/>
  <c r="AF66" i="41"/>
  <c r="N65" i="41"/>
  <c r="Q65" i="41" s="1"/>
  <c r="AF65" i="41"/>
  <c r="AE65" i="41"/>
  <c r="M9" i="41"/>
  <c r="N46" i="41"/>
  <c r="Q46" i="41" s="1"/>
  <c r="AF46" i="41"/>
  <c r="AE46" i="41"/>
  <c r="AE61" i="41"/>
  <c r="AF61" i="41"/>
  <c r="P35" i="45"/>
  <c r="L14" i="44"/>
  <c r="L15" i="44" s="1"/>
  <c r="Q35" i="45"/>
  <c r="R30" i="45" s="1"/>
  <c r="D14" i="44"/>
  <c r="D15" i="44" s="1"/>
  <c r="Q9" i="45"/>
  <c r="R5" i="45" s="1"/>
  <c r="P9" i="45"/>
  <c r="Q43" i="43"/>
  <c r="P43" i="43"/>
  <c r="AF18" i="41"/>
  <c r="Q55" i="45"/>
  <c r="R52" i="45" s="1"/>
  <c r="J14" i="44"/>
  <c r="J15" i="44" s="1"/>
  <c r="P55" i="45"/>
  <c r="D19" i="40"/>
  <c r="F1" i="41"/>
  <c r="AE19" i="41"/>
  <c r="P56" i="43"/>
  <c r="M23" i="41"/>
  <c r="AF23" i="41" s="1"/>
  <c r="AG18" i="41" s="1"/>
  <c r="Q23" i="45"/>
  <c r="R18" i="45" s="1"/>
  <c r="P23" i="45"/>
  <c r="G14" i="44"/>
  <c r="G15" i="44" s="1"/>
  <c r="Q12" i="45"/>
  <c r="R10" i="45" s="1"/>
  <c r="P12" i="45"/>
  <c r="E14" i="44"/>
  <c r="E15" i="44" s="1"/>
  <c r="Y2" i="41"/>
  <c r="K6" i="40" s="1"/>
  <c r="Q15" i="43"/>
  <c r="P15" i="43"/>
  <c r="G8" i="48"/>
  <c r="F8" i="48"/>
  <c r="E8" i="48"/>
  <c r="I7" i="46"/>
  <c r="E7" i="46"/>
  <c r="I8" i="46"/>
  <c r="F7" i="46"/>
  <c r="G7" i="46"/>
  <c r="G8" i="46"/>
  <c r="F8" i="46"/>
  <c r="E8" i="46"/>
  <c r="I7" i="44"/>
  <c r="K15" i="44"/>
  <c r="I8" i="44" s="1"/>
  <c r="F15" i="44"/>
  <c r="Q62" i="43"/>
  <c r="P62" i="43"/>
  <c r="AE36" i="43"/>
  <c r="N36" i="43"/>
  <c r="AF36" i="43"/>
  <c r="AG30" i="43" s="1"/>
  <c r="N29" i="43"/>
  <c r="AF29" i="43"/>
  <c r="AG24" i="43" s="1"/>
  <c r="AE29" i="43"/>
  <c r="Q40" i="43"/>
  <c r="P40" i="43"/>
  <c r="Q47" i="43"/>
  <c r="P47" i="43"/>
  <c r="Q49" i="43"/>
  <c r="P49" i="43"/>
  <c r="Q20" i="43"/>
  <c r="P20" i="43"/>
  <c r="Q37" i="43"/>
  <c r="P37" i="43"/>
  <c r="Q46" i="43"/>
  <c r="P46" i="43"/>
  <c r="Q50" i="43"/>
  <c r="P50" i="43"/>
  <c r="Q24" i="43"/>
  <c r="P24" i="43"/>
  <c r="N57" i="43"/>
  <c r="AF57" i="43"/>
  <c r="AG54" i="43" s="1"/>
  <c r="AE57" i="43"/>
  <c r="Q54" i="43"/>
  <c r="P54" i="43"/>
  <c r="Q19" i="43"/>
  <c r="P19" i="43"/>
  <c r="Q22" i="43"/>
  <c r="P22" i="43"/>
  <c r="Q45" i="43"/>
  <c r="R37" i="43" s="1"/>
  <c r="H14" i="42"/>
  <c r="H15" i="42" s="1"/>
  <c r="P45" i="43"/>
  <c r="Q8" i="43"/>
  <c r="P8" i="43"/>
  <c r="AF9" i="43"/>
  <c r="AG5" i="43" s="1"/>
  <c r="AE9" i="43"/>
  <c r="N9" i="43"/>
  <c r="AF63" i="43"/>
  <c r="AG58" i="43" s="1"/>
  <c r="AE63" i="43"/>
  <c r="N63" i="43"/>
  <c r="Q61" i="43"/>
  <c r="P61" i="43"/>
  <c r="Q11" i="43"/>
  <c r="P11" i="43"/>
  <c r="N23" i="43"/>
  <c r="AF23" i="43"/>
  <c r="AG18" i="43" s="1"/>
  <c r="AE23" i="43"/>
  <c r="Q16" i="43"/>
  <c r="P16" i="43"/>
  <c r="N53" i="43"/>
  <c r="AF53" i="43"/>
  <c r="AG46" i="43" s="1"/>
  <c r="AE53" i="43"/>
  <c r="Q10" i="43"/>
  <c r="P10" i="43"/>
  <c r="Q59" i="43"/>
  <c r="P59" i="43"/>
  <c r="Q31" i="43"/>
  <c r="P31" i="43"/>
  <c r="Q27" i="43"/>
  <c r="P27" i="43"/>
  <c r="AF12" i="43"/>
  <c r="AG10" i="43" s="1"/>
  <c r="AE12" i="43"/>
  <c r="N12" i="43"/>
  <c r="Q52" i="43"/>
  <c r="P52" i="43"/>
  <c r="Q18" i="43"/>
  <c r="P18" i="43"/>
  <c r="Q39" i="43"/>
  <c r="P39" i="43"/>
  <c r="Q35" i="43"/>
  <c r="P35" i="43"/>
  <c r="Q44" i="43"/>
  <c r="P44" i="43"/>
  <c r="P51" i="43"/>
  <c r="Q51" i="43"/>
  <c r="Q26" i="43"/>
  <c r="P26" i="43"/>
  <c r="P21" i="43"/>
  <c r="Q21" i="43"/>
  <c r="Q33" i="43"/>
  <c r="P33" i="43"/>
  <c r="Q42" i="43"/>
  <c r="P42" i="43"/>
  <c r="Q48" i="43"/>
  <c r="P48" i="43"/>
  <c r="Q55" i="43"/>
  <c r="P55" i="43"/>
  <c r="N17" i="43"/>
  <c r="AF17" i="43"/>
  <c r="AG13" i="43" s="1"/>
  <c r="AE17" i="43"/>
  <c r="P25" i="43"/>
  <c r="Q25" i="43"/>
  <c r="AF33" i="41"/>
  <c r="AE33" i="41"/>
  <c r="N33" i="41"/>
  <c r="N40" i="41"/>
  <c r="AF40" i="41"/>
  <c r="AE40" i="41"/>
  <c r="N42" i="41"/>
  <c r="AF42" i="41"/>
  <c r="AE42" i="41"/>
  <c r="F2" i="41"/>
  <c r="I3" i="40"/>
  <c r="AF11" i="41"/>
  <c r="AE11" i="41"/>
  <c r="N11" i="41"/>
  <c r="N16" i="41"/>
  <c r="AF16" i="41"/>
  <c r="AE16" i="41"/>
  <c r="Q63" i="41"/>
  <c r="P63" i="41"/>
  <c r="N59" i="41"/>
  <c r="AF59" i="41"/>
  <c r="AE59" i="41"/>
  <c r="P46" i="41"/>
  <c r="N14" i="41"/>
  <c r="AF14" i="41"/>
  <c r="AE14" i="41"/>
  <c r="P65" i="41"/>
  <c r="N57" i="41"/>
  <c r="M60" i="41"/>
  <c r="AF57" i="41"/>
  <c r="AE57" i="41"/>
  <c r="AF28" i="41"/>
  <c r="AE28" i="41"/>
  <c r="N28" i="41"/>
  <c r="M30" i="41"/>
  <c r="N39" i="41"/>
  <c r="M47" i="41"/>
  <c r="AF39" i="41"/>
  <c r="AE39" i="41"/>
  <c r="N41" i="41"/>
  <c r="AF41" i="41"/>
  <c r="AE41" i="41"/>
  <c r="N55" i="41"/>
  <c r="AF55" i="41"/>
  <c r="AE55" i="41"/>
  <c r="N54" i="41"/>
  <c r="AF54" i="41"/>
  <c r="AE54" i="41"/>
  <c r="Q19" i="41"/>
  <c r="P19" i="41"/>
  <c r="Q45" i="41"/>
  <c r="P45" i="41"/>
  <c r="N34" i="41"/>
  <c r="AF34" i="41"/>
  <c r="AE34" i="41"/>
  <c r="N36" i="41"/>
  <c r="AF36" i="41"/>
  <c r="AE36" i="41"/>
  <c r="N43" i="41"/>
  <c r="AF43" i="41"/>
  <c r="AE43" i="41"/>
  <c r="M12" i="41"/>
  <c r="AF10" i="41"/>
  <c r="AE10" i="41"/>
  <c r="N10" i="41"/>
  <c r="N15" i="41"/>
  <c r="AF15" i="41"/>
  <c r="AE15" i="41"/>
  <c r="Q44" i="41"/>
  <c r="P44" i="41"/>
  <c r="Q18" i="41"/>
  <c r="P18" i="41"/>
  <c r="N13" i="41"/>
  <c r="M17" i="41"/>
  <c r="AF13" i="41"/>
  <c r="AE13" i="41"/>
  <c r="N35" i="41"/>
  <c r="AF35" i="41"/>
  <c r="AE35" i="41"/>
  <c r="N37" i="41"/>
  <c r="AF37" i="41"/>
  <c r="AE37" i="41"/>
  <c r="AF53" i="41"/>
  <c r="AE53" i="41"/>
  <c r="N53" i="41"/>
  <c r="N58" i="41"/>
  <c r="AF58" i="41"/>
  <c r="AE58" i="41"/>
  <c r="N62" i="41"/>
  <c r="M67" i="41"/>
  <c r="AF62" i="41"/>
  <c r="AE62" i="41"/>
  <c r="AF9" i="41"/>
  <c r="AG5" i="41" s="1"/>
  <c r="AE9" i="41"/>
  <c r="N9" i="41"/>
  <c r="N31" i="41"/>
  <c r="AF31" i="41"/>
  <c r="M38" i="41"/>
  <c r="AE31" i="41"/>
  <c r="Q61" i="41"/>
  <c r="P61" i="41"/>
  <c r="E6" i="40"/>
  <c r="F6" i="40"/>
  <c r="N23" i="41"/>
  <c r="N24" i="41"/>
  <c r="N27" i="41"/>
  <c r="N29" i="41"/>
  <c r="N32" i="41"/>
  <c r="N52" i="41"/>
  <c r="N8" i="41"/>
  <c r="N26" i="41"/>
  <c r="N51" i="41"/>
  <c r="N50" i="41"/>
  <c r="N5" i="41"/>
  <c r="N6" i="41"/>
  <c r="N21" i="41"/>
  <c r="N48" i="41"/>
  <c r="N49" i="41"/>
  <c r="P7" i="41"/>
  <c r="N20" i="41"/>
  <c r="P22" i="41"/>
  <c r="P25" i="41"/>
  <c r="N64" i="41"/>
  <c r="N66" i="41"/>
  <c r="AE27" i="41"/>
  <c r="AE29" i="41"/>
  <c r="AE32" i="41"/>
  <c r="AE52" i="41"/>
  <c r="M56" i="41"/>
  <c r="AE8" i="41"/>
  <c r="AE23" i="41"/>
  <c r="AE26" i="41"/>
  <c r="AE51" i="41"/>
  <c r="AE7" i="41"/>
  <c r="AE22" i="41"/>
  <c r="AE24" i="41"/>
  <c r="AE25" i="41"/>
  <c r="AE50" i="41"/>
  <c r="AE5" i="41"/>
  <c r="AE6" i="41"/>
  <c r="AE21" i="41"/>
  <c r="AF24" i="41"/>
  <c r="AE48" i="41"/>
  <c r="AE49" i="41"/>
  <c r="AF5" i="41"/>
  <c r="AD73" i="39"/>
  <c r="Z73" i="39"/>
  <c r="Y73" i="39"/>
  <c r="O73" i="39"/>
  <c r="K73" i="39"/>
  <c r="V72" i="39"/>
  <c r="M72" i="39" s="1"/>
  <c r="U72" i="39"/>
  <c r="O72" i="39"/>
  <c r="K72" i="39"/>
  <c r="G72" i="39"/>
  <c r="X71" i="39"/>
  <c r="W71" i="39"/>
  <c r="V71" i="39"/>
  <c r="M71" i="39" s="1"/>
  <c r="U71" i="39"/>
  <c r="O71" i="39"/>
  <c r="K71" i="39"/>
  <c r="G71" i="39"/>
  <c r="V70" i="39"/>
  <c r="M70" i="39" s="1"/>
  <c r="U70" i="39"/>
  <c r="O70" i="39"/>
  <c r="K70" i="39"/>
  <c r="G70" i="39"/>
  <c r="V69" i="39"/>
  <c r="U69" i="39"/>
  <c r="O69" i="39"/>
  <c r="M69" i="39"/>
  <c r="AF69" i="39" s="1"/>
  <c r="K69" i="39"/>
  <c r="G69" i="39"/>
  <c r="V68" i="39"/>
  <c r="M68" i="39" s="1"/>
  <c r="N68" i="39" s="1"/>
  <c r="U68" i="39"/>
  <c r="O68" i="39"/>
  <c r="K68" i="39"/>
  <c r="G68" i="39"/>
  <c r="X67" i="39"/>
  <c r="W67" i="39"/>
  <c r="V67" i="39"/>
  <c r="M67" i="39" s="1"/>
  <c r="O67" i="39"/>
  <c r="K67" i="39"/>
  <c r="G67" i="39"/>
  <c r="AD66" i="39"/>
  <c r="Z66" i="39"/>
  <c r="Y66" i="39"/>
  <c r="O66" i="39"/>
  <c r="K66" i="39"/>
  <c r="V65" i="39"/>
  <c r="M65" i="39" s="1"/>
  <c r="N65" i="39" s="1"/>
  <c r="U65" i="39"/>
  <c r="O65" i="39"/>
  <c r="K65" i="39"/>
  <c r="G65" i="39"/>
  <c r="V64" i="39"/>
  <c r="U64" i="39"/>
  <c r="O64" i="39"/>
  <c r="M64" i="39"/>
  <c r="N64" i="39" s="1"/>
  <c r="K64" i="39"/>
  <c r="G64" i="39"/>
  <c r="V63" i="39"/>
  <c r="M63" i="39" s="1"/>
  <c r="O63" i="39"/>
  <c r="K63" i="39"/>
  <c r="G63" i="39"/>
  <c r="AD62" i="39"/>
  <c r="Z62" i="39"/>
  <c r="Y62" i="39"/>
  <c r="O62" i="39"/>
  <c r="K62" i="39"/>
  <c r="V61" i="39"/>
  <c r="M61" i="39" s="1"/>
  <c r="U61" i="39"/>
  <c r="O61" i="39"/>
  <c r="K61" i="39"/>
  <c r="G61" i="39"/>
  <c r="X60" i="39"/>
  <c r="W60" i="39"/>
  <c r="V60" i="39"/>
  <c r="M60" i="39" s="1"/>
  <c r="U60" i="39"/>
  <c r="O60" i="39"/>
  <c r="K60" i="39"/>
  <c r="G60" i="39"/>
  <c r="AF59" i="39"/>
  <c r="V59" i="39"/>
  <c r="U59" i="39"/>
  <c r="O59" i="39"/>
  <c r="N59" i="39"/>
  <c r="Q59" i="39" s="1"/>
  <c r="M59" i="39"/>
  <c r="AE59" i="39" s="1"/>
  <c r="K59" i="39"/>
  <c r="G59" i="39"/>
  <c r="V58" i="39"/>
  <c r="M58" i="39" s="1"/>
  <c r="U58" i="39"/>
  <c r="O58" i="39"/>
  <c r="K58" i="39"/>
  <c r="G58" i="39"/>
  <c r="AE57" i="39"/>
  <c r="V57" i="39"/>
  <c r="U57" i="39"/>
  <c r="P57" i="39"/>
  <c r="O57" i="39"/>
  <c r="N57" i="39"/>
  <c r="Q57" i="39" s="1"/>
  <c r="M57" i="39"/>
  <c r="AF57" i="39" s="1"/>
  <c r="K57" i="39"/>
  <c r="G57" i="39"/>
  <c r="V56" i="39"/>
  <c r="M56" i="39" s="1"/>
  <c r="U56" i="39"/>
  <c r="O56" i="39"/>
  <c r="K56" i="39"/>
  <c r="G56" i="39"/>
  <c r="AE55" i="39"/>
  <c r="V55" i="39"/>
  <c r="U55" i="39"/>
  <c r="O55" i="39"/>
  <c r="M55" i="39"/>
  <c r="AF55" i="39" s="1"/>
  <c r="K55" i="39"/>
  <c r="G55" i="39"/>
  <c r="V54" i="39"/>
  <c r="U54" i="39"/>
  <c r="O54" i="39"/>
  <c r="M54" i="39"/>
  <c r="AF54" i="39" s="1"/>
  <c r="K54" i="39"/>
  <c r="G54" i="39"/>
  <c r="AE53" i="39"/>
  <c r="V53" i="39"/>
  <c r="O53" i="39"/>
  <c r="M53" i="39"/>
  <c r="AF53" i="39" s="1"/>
  <c r="K53" i="39"/>
  <c r="G53" i="39"/>
  <c r="AD52" i="39"/>
  <c r="Z52" i="39"/>
  <c r="Y52" i="39"/>
  <c r="O52" i="39"/>
  <c r="K52" i="39"/>
  <c r="V51" i="39"/>
  <c r="M51" i="39" s="1"/>
  <c r="U51" i="39"/>
  <c r="O51" i="39"/>
  <c r="K51" i="39"/>
  <c r="G51" i="39"/>
  <c r="V50" i="39"/>
  <c r="M50" i="39" s="1"/>
  <c r="U50" i="39"/>
  <c r="O50" i="39"/>
  <c r="K50" i="39"/>
  <c r="G50" i="39"/>
  <c r="V49" i="39"/>
  <c r="M49" i="39" s="1"/>
  <c r="U49" i="39"/>
  <c r="O49" i="39"/>
  <c r="K49" i="39"/>
  <c r="G49" i="39"/>
  <c r="X48" i="39"/>
  <c r="W48" i="39"/>
  <c r="V48" i="39"/>
  <c r="M48" i="39" s="1"/>
  <c r="U48" i="39"/>
  <c r="O48" i="39"/>
  <c r="K48" i="39"/>
  <c r="G48" i="39"/>
  <c r="V47" i="39"/>
  <c r="U47" i="39"/>
  <c r="O47" i="39"/>
  <c r="M47" i="39"/>
  <c r="AF47" i="39" s="1"/>
  <c r="K47" i="39"/>
  <c r="G47" i="39"/>
  <c r="V46" i="39"/>
  <c r="U46" i="39"/>
  <c r="O46" i="39"/>
  <c r="M46" i="39"/>
  <c r="N46" i="39" s="1"/>
  <c r="K46" i="39"/>
  <c r="G46" i="39"/>
  <c r="V45" i="39"/>
  <c r="M45" i="39" s="1"/>
  <c r="U45" i="39"/>
  <c r="O45" i="39"/>
  <c r="K45" i="39"/>
  <c r="G45" i="39"/>
  <c r="AF44" i="39"/>
  <c r="V44" i="39"/>
  <c r="U44" i="39"/>
  <c r="O44" i="39"/>
  <c r="N44" i="39"/>
  <c r="Q44" i="39" s="1"/>
  <c r="M44" i="39"/>
  <c r="AE44" i="39" s="1"/>
  <c r="K44" i="39"/>
  <c r="G44" i="39"/>
  <c r="X43" i="39"/>
  <c r="W43" i="39"/>
  <c r="V43" i="39"/>
  <c r="U43" i="39"/>
  <c r="O43" i="39"/>
  <c r="M43" i="39"/>
  <c r="N43" i="39" s="1"/>
  <c r="K43" i="39"/>
  <c r="G43" i="39"/>
  <c r="V42" i="39"/>
  <c r="O42" i="39"/>
  <c r="M42" i="39"/>
  <c r="AF42" i="39" s="1"/>
  <c r="K42" i="39"/>
  <c r="G42" i="39"/>
  <c r="AD41" i="39"/>
  <c r="Z41" i="39"/>
  <c r="Y41" i="39"/>
  <c r="O41" i="39"/>
  <c r="K41" i="39"/>
  <c r="AF40" i="39"/>
  <c r="AE40" i="39"/>
  <c r="V40" i="39"/>
  <c r="U40" i="39"/>
  <c r="Q40" i="39"/>
  <c r="P40" i="39"/>
  <c r="O40" i="39"/>
  <c r="N40" i="39"/>
  <c r="M40" i="39"/>
  <c r="K40" i="39"/>
  <c r="G40" i="39"/>
  <c r="V39" i="39"/>
  <c r="M39" i="39" s="1"/>
  <c r="U39" i="39"/>
  <c r="O39" i="39"/>
  <c r="K39" i="39"/>
  <c r="G39" i="39"/>
  <c r="X38" i="39"/>
  <c r="W38" i="39"/>
  <c r="V38" i="39"/>
  <c r="M38" i="39" s="1"/>
  <c r="U38" i="39"/>
  <c r="O38" i="39"/>
  <c r="K38" i="39"/>
  <c r="G38" i="39"/>
  <c r="AE37" i="39"/>
  <c r="V37" i="39"/>
  <c r="U37" i="39"/>
  <c r="O37" i="39"/>
  <c r="M37" i="39"/>
  <c r="AF37" i="39" s="1"/>
  <c r="K37" i="39"/>
  <c r="G37" i="39"/>
  <c r="V36" i="39"/>
  <c r="U36" i="39"/>
  <c r="O36" i="39"/>
  <c r="M36" i="39"/>
  <c r="AF36" i="39" s="1"/>
  <c r="K36" i="39"/>
  <c r="G36" i="39"/>
  <c r="AE35" i="39"/>
  <c r="V35" i="39"/>
  <c r="U35" i="39"/>
  <c r="O35" i="39"/>
  <c r="M35" i="39"/>
  <c r="AF35" i="39" s="1"/>
  <c r="K35" i="39"/>
  <c r="G35" i="39"/>
  <c r="X34" i="39"/>
  <c r="W34" i="39"/>
  <c r="V34" i="39"/>
  <c r="O34" i="39"/>
  <c r="M34" i="39"/>
  <c r="N34" i="39" s="1"/>
  <c r="K34" i="39"/>
  <c r="G34" i="39"/>
  <c r="AD33" i="39"/>
  <c r="Z33" i="39"/>
  <c r="Y33" i="39"/>
  <c r="O33" i="39"/>
  <c r="K33" i="39"/>
  <c r="V32" i="39"/>
  <c r="M32" i="39" s="1"/>
  <c r="U32" i="39"/>
  <c r="O32" i="39"/>
  <c r="K32" i="39"/>
  <c r="G32" i="39"/>
  <c r="V31" i="39"/>
  <c r="M31" i="39" s="1"/>
  <c r="U31" i="39"/>
  <c r="O31" i="39"/>
  <c r="K31" i="39"/>
  <c r="G31" i="39"/>
  <c r="AF30" i="39"/>
  <c r="X30" i="39"/>
  <c r="W30" i="39"/>
  <c r="V30" i="39"/>
  <c r="U30" i="39"/>
  <c r="P30" i="39"/>
  <c r="O30" i="39"/>
  <c r="N30" i="39"/>
  <c r="Q30" i="39" s="1"/>
  <c r="M30" i="39"/>
  <c r="AE30" i="39" s="1"/>
  <c r="K30" i="39"/>
  <c r="G30" i="39"/>
  <c r="AF29" i="39"/>
  <c r="AE29" i="39"/>
  <c r="V29" i="39"/>
  <c r="U29" i="39"/>
  <c r="O29" i="39"/>
  <c r="N29" i="39"/>
  <c r="Q29" i="39" s="1"/>
  <c r="M29" i="39"/>
  <c r="K29" i="39"/>
  <c r="G29" i="39"/>
  <c r="AE28" i="39"/>
  <c r="V28" i="39"/>
  <c r="U28" i="39"/>
  <c r="P28" i="39"/>
  <c r="O28" i="39"/>
  <c r="N28" i="39"/>
  <c r="Q28" i="39" s="1"/>
  <c r="M28" i="39"/>
  <c r="AF28" i="39" s="1"/>
  <c r="K28" i="39"/>
  <c r="G28" i="39"/>
  <c r="AF27" i="39"/>
  <c r="AE27" i="39"/>
  <c r="V27" i="39"/>
  <c r="U27" i="39"/>
  <c r="P27" i="39"/>
  <c r="O27" i="39"/>
  <c r="N27" i="39"/>
  <c r="Q27" i="39" s="1"/>
  <c r="M27" i="39"/>
  <c r="K27" i="39"/>
  <c r="G27" i="39"/>
  <c r="X26" i="39"/>
  <c r="W26" i="39"/>
  <c r="V26" i="39"/>
  <c r="M26" i="39" s="1"/>
  <c r="O26" i="39"/>
  <c r="K26" i="39"/>
  <c r="G26" i="39"/>
  <c r="AD25" i="39"/>
  <c r="Z25" i="39"/>
  <c r="Y25" i="39"/>
  <c r="O25" i="39"/>
  <c r="K25" i="39"/>
  <c r="V24" i="39"/>
  <c r="U24" i="39"/>
  <c r="O24" i="39"/>
  <c r="M24" i="39"/>
  <c r="N24" i="39" s="1"/>
  <c r="K24" i="39"/>
  <c r="G24" i="39"/>
  <c r="V23" i="39"/>
  <c r="U23" i="39"/>
  <c r="O23" i="39"/>
  <c r="M23" i="39"/>
  <c r="AF23" i="39" s="1"/>
  <c r="K23" i="39"/>
  <c r="G23" i="39"/>
  <c r="V22" i="39"/>
  <c r="U22" i="39"/>
  <c r="O22" i="39"/>
  <c r="M22" i="39"/>
  <c r="AF22" i="39" s="1"/>
  <c r="K22" i="39"/>
  <c r="G22" i="39"/>
  <c r="V21" i="39"/>
  <c r="M21" i="39" s="1"/>
  <c r="U21" i="39"/>
  <c r="O21" i="39"/>
  <c r="K21" i="39"/>
  <c r="G21" i="39"/>
  <c r="V20" i="39"/>
  <c r="O20" i="39"/>
  <c r="M20" i="39"/>
  <c r="N20" i="39" s="1"/>
  <c r="K20" i="39"/>
  <c r="G20" i="39"/>
  <c r="AD19" i="39"/>
  <c r="Z19" i="39"/>
  <c r="Y19" i="39"/>
  <c r="O19" i="39"/>
  <c r="K19" i="39"/>
  <c r="AF18" i="39"/>
  <c r="AE18" i="39"/>
  <c r="V18" i="39"/>
  <c r="U18" i="39"/>
  <c r="Q18" i="39"/>
  <c r="P18" i="39"/>
  <c r="O18" i="39"/>
  <c r="N18" i="39"/>
  <c r="M18" i="39"/>
  <c r="K18" i="39"/>
  <c r="G18" i="39"/>
  <c r="V17" i="39"/>
  <c r="M17" i="39" s="1"/>
  <c r="U17" i="39"/>
  <c r="O17" i="39"/>
  <c r="K17" i="39"/>
  <c r="G17" i="39"/>
  <c r="V16" i="39"/>
  <c r="M16" i="39" s="1"/>
  <c r="U16" i="39"/>
  <c r="O16" i="39"/>
  <c r="K16" i="39"/>
  <c r="G16" i="39"/>
  <c r="AF15" i="39"/>
  <c r="AE15" i="39"/>
  <c r="V15" i="39"/>
  <c r="O15" i="39"/>
  <c r="M15" i="39"/>
  <c r="N15" i="39" s="1"/>
  <c r="K15" i="39"/>
  <c r="G15" i="39"/>
  <c r="AD14" i="39"/>
  <c r="AD2" i="39" s="1"/>
  <c r="N6" i="38" s="1"/>
  <c r="Z14" i="39"/>
  <c r="Y14" i="39"/>
  <c r="O14" i="39"/>
  <c r="K14" i="39"/>
  <c r="AF13" i="39"/>
  <c r="AE13" i="39"/>
  <c r="V13" i="39"/>
  <c r="U13" i="39"/>
  <c r="O13" i="39"/>
  <c r="M13" i="39"/>
  <c r="N13" i="39" s="1"/>
  <c r="K13" i="39"/>
  <c r="G13" i="39"/>
  <c r="AE12" i="39"/>
  <c r="X12" i="39"/>
  <c r="W12" i="39"/>
  <c r="V12" i="39"/>
  <c r="U12" i="39"/>
  <c r="O12" i="39"/>
  <c r="N12" i="39"/>
  <c r="Q12" i="39" s="1"/>
  <c r="M12" i="39"/>
  <c r="AF12" i="39" s="1"/>
  <c r="K12" i="39"/>
  <c r="G12" i="39"/>
  <c r="AE11" i="39"/>
  <c r="V11" i="39"/>
  <c r="O11" i="39"/>
  <c r="N11" i="39"/>
  <c r="Q11" i="39" s="1"/>
  <c r="M11" i="39"/>
  <c r="AF11" i="39" s="1"/>
  <c r="K11" i="39"/>
  <c r="G11" i="39"/>
  <c r="AD10" i="39"/>
  <c r="Z10" i="39"/>
  <c r="Z2" i="39" s="1"/>
  <c r="L6" i="38" s="1"/>
  <c r="Y10" i="39"/>
  <c r="Y2" i="39" s="1"/>
  <c r="K6" i="38" s="1"/>
  <c r="O10" i="39"/>
  <c r="K10" i="39"/>
  <c r="V9" i="39"/>
  <c r="M9" i="39" s="1"/>
  <c r="U9" i="39"/>
  <c r="O9" i="39"/>
  <c r="K9" i="39"/>
  <c r="G9" i="39"/>
  <c r="V8" i="39"/>
  <c r="M8" i="39" s="1"/>
  <c r="U8" i="39"/>
  <c r="O8" i="39"/>
  <c r="K8" i="39"/>
  <c r="G8" i="39"/>
  <c r="V7" i="39"/>
  <c r="M7" i="39" s="1"/>
  <c r="U7" i="39"/>
  <c r="O7" i="39"/>
  <c r="K7" i="39"/>
  <c r="G7" i="39"/>
  <c r="AF6" i="39"/>
  <c r="V6" i="39"/>
  <c r="U6" i="39"/>
  <c r="O6" i="39"/>
  <c r="M6" i="39"/>
  <c r="AE6" i="39" s="1"/>
  <c r="K6" i="39"/>
  <c r="G6" i="39"/>
  <c r="AF5" i="39"/>
  <c r="V5" i="39"/>
  <c r="O5" i="39"/>
  <c r="M5" i="39"/>
  <c r="AE5" i="39" s="1"/>
  <c r="K5" i="39"/>
  <c r="G5" i="39"/>
  <c r="F1" i="39" s="1"/>
  <c r="F2" i="39" s="1"/>
  <c r="H2" i="39"/>
  <c r="H1" i="39"/>
  <c r="D1" i="39"/>
  <c r="M22" i="38"/>
  <c r="L22" i="38"/>
  <c r="K22" i="38"/>
  <c r="J22" i="38"/>
  <c r="I22" i="38"/>
  <c r="H22" i="38"/>
  <c r="G22" i="38"/>
  <c r="F22" i="38"/>
  <c r="E22" i="38"/>
  <c r="D22" i="38"/>
  <c r="M21" i="38"/>
  <c r="L21" i="38"/>
  <c r="K21" i="38"/>
  <c r="J21" i="38"/>
  <c r="I21" i="38"/>
  <c r="H21" i="38"/>
  <c r="G21" i="38"/>
  <c r="F21" i="38"/>
  <c r="E21" i="38"/>
  <c r="D21" i="38"/>
  <c r="M20" i="38"/>
  <c r="L20" i="38"/>
  <c r="K20" i="38"/>
  <c r="J20" i="38"/>
  <c r="I20" i="38"/>
  <c r="H20" i="38"/>
  <c r="G20" i="38"/>
  <c r="F20" i="38"/>
  <c r="E20" i="38"/>
  <c r="D20" i="38"/>
  <c r="M19" i="38"/>
  <c r="L19" i="38"/>
  <c r="K19" i="38"/>
  <c r="J19" i="38"/>
  <c r="I19" i="38"/>
  <c r="H19" i="38"/>
  <c r="G19" i="38"/>
  <c r="F19" i="38"/>
  <c r="E19" i="38"/>
  <c r="D19" i="38"/>
  <c r="M18" i="38"/>
  <c r="L18" i="38"/>
  <c r="K18" i="38"/>
  <c r="J18" i="38"/>
  <c r="I18" i="38"/>
  <c r="H18" i="38"/>
  <c r="G18" i="38"/>
  <c r="F18" i="38"/>
  <c r="E18" i="38"/>
  <c r="D18" i="38"/>
  <c r="M17" i="38"/>
  <c r="L17" i="38"/>
  <c r="K17" i="38"/>
  <c r="J17" i="38"/>
  <c r="I17" i="38"/>
  <c r="H17" i="38"/>
  <c r="G17" i="38"/>
  <c r="F17" i="38"/>
  <c r="E17" i="38"/>
  <c r="D17" i="38"/>
  <c r="M16" i="38"/>
  <c r="L16" i="38"/>
  <c r="K16" i="38"/>
  <c r="J16" i="38"/>
  <c r="I16" i="38"/>
  <c r="H16" i="38"/>
  <c r="G16" i="38"/>
  <c r="F16" i="38"/>
  <c r="E16" i="38"/>
  <c r="D16" i="38"/>
  <c r="M13" i="38"/>
  <c r="L13" i="38"/>
  <c r="K13" i="38"/>
  <c r="I6" i="38" s="1"/>
  <c r="J13" i="38"/>
  <c r="I13" i="38"/>
  <c r="H13" i="38"/>
  <c r="G13" i="38"/>
  <c r="F6" i="38" s="1"/>
  <c r="F13" i="38"/>
  <c r="E13" i="38"/>
  <c r="D13" i="38"/>
  <c r="M6" i="38"/>
  <c r="F3" i="38"/>
  <c r="C3" i="38"/>
  <c r="AF71" i="39" l="1"/>
  <c r="AE71" i="39"/>
  <c r="N71" i="39"/>
  <c r="Q15" i="39"/>
  <c r="P15" i="39"/>
  <c r="AF58" i="39"/>
  <c r="AE58" i="39"/>
  <c r="N58" i="39"/>
  <c r="AF7" i="39"/>
  <c r="AE7" i="39"/>
  <c r="N7" i="39"/>
  <c r="AF31" i="39"/>
  <c r="AE31" i="39"/>
  <c r="N31" i="39"/>
  <c r="Q31" i="39" s="1"/>
  <c r="AF50" i="39"/>
  <c r="AE50" i="39"/>
  <c r="N50" i="39"/>
  <c r="N17" i="39"/>
  <c r="AF17" i="39"/>
  <c r="AE17" i="39"/>
  <c r="AF60" i="39"/>
  <c r="AE60" i="39"/>
  <c r="N60" i="39"/>
  <c r="Q24" i="39"/>
  <c r="P24" i="39"/>
  <c r="AF38" i="39"/>
  <c r="AE38" i="39"/>
  <c r="N38" i="39"/>
  <c r="AF8" i="39"/>
  <c r="AE8" i="39"/>
  <c r="N8" i="39"/>
  <c r="N32" i="39"/>
  <c r="AF32" i="39"/>
  <c r="AE32" i="39"/>
  <c r="N51" i="39"/>
  <c r="AF51" i="39"/>
  <c r="AE51" i="39"/>
  <c r="N72" i="39"/>
  <c r="AF72" i="39"/>
  <c r="AE72" i="39"/>
  <c r="N21" i="39"/>
  <c r="AF21" i="39"/>
  <c r="AF48" i="39"/>
  <c r="AE48" i="39"/>
  <c r="N48" i="39"/>
  <c r="N61" i="39"/>
  <c r="AF61" i="39"/>
  <c r="AE61" i="39"/>
  <c r="N39" i="39"/>
  <c r="AF39" i="39"/>
  <c r="AE39" i="39"/>
  <c r="AF56" i="39"/>
  <c r="AE56" i="39"/>
  <c r="N56" i="39"/>
  <c r="Q34" i="39"/>
  <c r="P34" i="39"/>
  <c r="P43" i="39"/>
  <c r="Q43" i="39"/>
  <c r="Q13" i="39"/>
  <c r="P13" i="39"/>
  <c r="AF26" i="39"/>
  <c r="AE26" i="39"/>
  <c r="N26" i="39"/>
  <c r="Q26" i="39" s="1"/>
  <c r="M33" i="39"/>
  <c r="AF49" i="39"/>
  <c r="N49" i="39"/>
  <c r="Q49" i="39" s="1"/>
  <c r="AF70" i="39"/>
  <c r="AE70" i="39"/>
  <c r="N70" i="39"/>
  <c r="M19" i="39"/>
  <c r="AF16" i="39"/>
  <c r="AE16" i="39"/>
  <c r="N16" i="39"/>
  <c r="AF9" i="39"/>
  <c r="AE9" i="39"/>
  <c r="N9" i="39"/>
  <c r="Q9" i="39" s="1"/>
  <c r="N45" i="39"/>
  <c r="AF45" i="39"/>
  <c r="AE45" i="39"/>
  <c r="N63" i="39"/>
  <c r="AF63" i="39"/>
  <c r="M66" i="39"/>
  <c r="N66" i="39" s="1"/>
  <c r="AF67" i="39"/>
  <c r="AE67" i="39"/>
  <c r="N67" i="39"/>
  <c r="N36" i="39"/>
  <c r="N54" i="39"/>
  <c r="N69" i="39"/>
  <c r="N6" i="39"/>
  <c r="M10" i="39"/>
  <c r="P12" i="39"/>
  <c r="M14" i="39"/>
  <c r="AE24" i="39"/>
  <c r="AF24" i="39"/>
  <c r="AE43" i="39"/>
  <c r="AE34" i="39"/>
  <c r="AF43" i="39"/>
  <c r="N23" i="39"/>
  <c r="AF34" i="39"/>
  <c r="AE36" i="39"/>
  <c r="AE54" i="39"/>
  <c r="AF64" i="39"/>
  <c r="AE69" i="39"/>
  <c r="AF20" i="39"/>
  <c r="N42" i="39"/>
  <c r="M62" i="39"/>
  <c r="N35" i="39"/>
  <c r="P44" i="39"/>
  <c r="N53" i="39"/>
  <c r="N5" i="39"/>
  <c r="AE23" i="39"/>
  <c r="N37" i="39"/>
  <c r="AE42" i="39"/>
  <c r="N55" i="39"/>
  <c r="F7" i="44"/>
  <c r="P11" i="39"/>
  <c r="AF46" i="39"/>
  <c r="E7" i="44"/>
  <c r="M41" i="39"/>
  <c r="N47" i="39"/>
  <c r="Q47" i="39" s="1"/>
  <c r="G7" i="44"/>
  <c r="P59" i="39"/>
  <c r="N22" i="39"/>
  <c r="Q22" i="39" s="1"/>
  <c r="E8" i="44"/>
  <c r="G8" i="44"/>
  <c r="F8" i="44"/>
  <c r="Q23" i="43"/>
  <c r="R18" i="43" s="1"/>
  <c r="P23" i="43"/>
  <c r="G14" i="42"/>
  <c r="G15" i="42" s="1"/>
  <c r="Q57" i="43"/>
  <c r="R54" i="43" s="1"/>
  <c r="P57" i="43"/>
  <c r="J14" i="42"/>
  <c r="J15" i="42" s="1"/>
  <c r="F14" i="42"/>
  <c r="F15" i="42" s="1"/>
  <c r="Q17" i="43"/>
  <c r="R13" i="43" s="1"/>
  <c r="P17" i="43"/>
  <c r="Q63" i="43"/>
  <c r="R58" i="43" s="1"/>
  <c r="P63" i="43"/>
  <c r="M14" i="42"/>
  <c r="M15" i="42" s="1"/>
  <c r="Q12" i="43"/>
  <c r="R10" i="43" s="1"/>
  <c r="P12" i="43"/>
  <c r="E14" i="42"/>
  <c r="E15" i="42" s="1"/>
  <c r="Q53" i="43"/>
  <c r="R46" i="43" s="1"/>
  <c r="P53" i="43"/>
  <c r="I14" i="42"/>
  <c r="I15" i="42" s="1"/>
  <c r="Q29" i="43"/>
  <c r="R24" i="43" s="1"/>
  <c r="P29" i="43"/>
  <c r="K14" i="42"/>
  <c r="D2" i="43"/>
  <c r="Q9" i="43"/>
  <c r="R5" i="43" s="1"/>
  <c r="P9" i="43"/>
  <c r="D14" i="42"/>
  <c r="Q36" i="43"/>
  <c r="R30" i="43" s="1"/>
  <c r="P36" i="43"/>
  <c r="L14" i="42"/>
  <c r="L15" i="42" s="1"/>
  <c r="Q21" i="41"/>
  <c r="P21" i="41"/>
  <c r="Q23" i="41"/>
  <c r="R18" i="41" s="1"/>
  <c r="P23" i="41"/>
  <c r="G14" i="40"/>
  <c r="G15" i="40" s="1"/>
  <c r="P37" i="41"/>
  <c r="Q37" i="41"/>
  <c r="Q36" i="41"/>
  <c r="P36" i="41"/>
  <c r="Q6" i="41"/>
  <c r="P6" i="41"/>
  <c r="P55" i="41"/>
  <c r="Q55" i="41"/>
  <c r="Q28" i="41"/>
  <c r="P28" i="41"/>
  <c r="Q48" i="41"/>
  <c r="P48" i="41"/>
  <c r="Q5" i="41"/>
  <c r="P5" i="41"/>
  <c r="AF67" i="41"/>
  <c r="AG61" i="41" s="1"/>
  <c r="AE67" i="41"/>
  <c r="N67" i="41"/>
  <c r="P15" i="41"/>
  <c r="Q15" i="41"/>
  <c r="Q59" i="41"/>
  <c r="P59" i="41"/>
  <c r="Q50" i="41"/>
  <c r="P50" i="41"/>
  <c r="Q62" i="41"/>
  <c r="P62" i="41"/>
  <c r="P35" i="41"/>
  <c r="Q35" i="41"/>
  <c r="Q10" i="41"/>
  <c r="P10" i="41"/>
  <c r="Q34" i="41"/>
  <c r="P34" i="41"/>
  <c r="N60" i="41"/>
  <c r="AE60" i="41"/>
  <c r="AF60" i="41"/>
  <c r="AG57" i="41" s="1"/>
  <c r="Q42" i="41"/>
  <c r="P42" i="41"/>
  <c r="Q49" i="41"/>
  <c r="P49" i="41"/>
  <c r="Q66" i="41"/>
  <c r="P66" i="41"/>
  <c r="Q51" i="41"/>
  <c r="P51" i="41"/>
  <c r="P41" i="41"/>
  <c r="Q41" i="41"/>
  <c r="Q57" i="41"/>
  <c r="P57" i="41"/>
  <c r="N56" i="41"/>
  <c r="AF56" i="41"/>
  <c r="AG48" i="41" s="1"/>
  <c r="AE56" i="41"/>
  <c r="Q64" i="41"/>
  <c r="P64" i="41"/>
  <c r="Q26" i="41"/>
  <c r="P26" i="41"/>
  <c r="Q54" i="41"/>
  <c r="P54" i="41"/>
  <c r="Q8" i="41"/>
  <c r="P8" i="41"/>
  <c r="N38" i="41"/>
  <c r="AF38" i="41"/>
  <c r="AG31" i="41" s="1"/>
  <c r="AE38" i="41"/>
  <c r="Q58" i="41"/>
  <c r="P58" i="41"/>
  <c r="N17" i="41"/>
  <c r="AF17" i="41"/>
  <c r="AG13" i="41" s="1"/>
  <c r="AE17" i="41"/>
  <c r="N12" i="41"/>
  <c r="AF12" i="41"/>
  <c r="AG10" i="41" s="1"/>
  <c r="AE12" i="41"/>
  <c r="Q40" i="41"/>
  <c r="P40" i="41"/>
  <c r="Q27" i="41"/>
  <c r="P27" i="41"/>
  <c r="Q52" i="41"/>
  <c r="P52" i="41"/>
  <c r="Q53" i="41"/>
  <c r="P53" i="41"/>
  <c r="P13" i="41"/>
  <c r="Q13" i="41"/>
  <c r="AE47" i="41"/>
  <c r="N47" i="41"/>
  <c r="AF47" i="41"/>
  <c r="AG39" i="41" s="1"/>
  <c r="Q16" i="41"/>
  <c r="P16" i="41"/>
  <c r="Q33" i="41"/>
  <c r="P33" i="41"/>
  <c r="Q20" i="41"/>
  <c r="P20" i="41"/>
  <c r="Q32" i="41"/>
  <c r="P32" i="41"/>
  <c r="Q31" i="41"/>
  <c r="P31" i="41"/>
  <c r="Q39" i="41"/>
  <c r="P39" i="41"/>
  <c r="Q11" i="41"/>
  <c r="P11" i="41"/>
  <c r="Q24" i="41"/>
  <c r="P24" i="41"/>
  <c r="Q29" i="41"/>
  <c r="P29" i="41"/>
  <c r="Q9" i="41"/>
  <c r="R5" i="41" s="1"/>
  <c r="P9" i="41"/>
  <c r="D14" i="40"/>
  <c r="Q43" i="41"/>
  <c r="P43" i="41"/>
  <c r="N30" i="41"/>
  <c r="AF30" i="41"/>
  <c r="AG24" i="41" s="1"/>
  <c r="AE30" i="41"/>
  <c r="P14" i="41"/>
  <c r="Q14" i="41"/>
  <c r="Q20" i="39"/>
  <c r="P20" i="39"/>
  <c r="Q46" i="39"/>
  <c r="P46" i="39"/>
  <c r="Q63" i="39"/>
  <c r="P63" i="39"/>
  <c r="Q65" i="39"/>
  <c r="P65" i="39"/>
  <c r="Q68" i="39"/>
  <c r="P68" i="39"/>
  <c r="Q21" i="39"/>
  <c r="P21" i="39"/>
  <c r="Q64" i="39"/>
  <c r="P64" i="39"/>
  <c r="Q66" i="39"/>
  <c r="R63" i="39" s="1"/>
  <c r="P66" i="39"/>
  <c r="J14" i="38"/>
  <c r="J15" i="38" s="1"/>
  <c r="AE66" i="39"/>
  <c r="N10" i="39"/>
  <c r="AE22" i="39"/>
  <c r="AE47" i="39"/>
  <c r="AE49" i="39"/>
  <c r="AE65" i="39"/>
  <c r="AF66" i="39"/>
  <c r="AG63" i="39" s="1"/>
  <c r="AE68" i="39"/>
  <c r="G6" i="38"/>
  <c r="AE20" i="39"/>
  <c r="AE21" i="39"/>
  <c r="M25" i="39"/>
  <c r="AE46" i="39"/>
  <c r="M52" i="39"/>
  <c r="AE63" i="39"/>
  <c r="AE64" i="39"/>
  <c r="AF65" i="39"/>
  <c r="AF68" i="39"/>
  <c r="M73" i="39"/>
  <c r="P9" i="39"/>
  <c r="P26" i="39"/>
  <c r="P29" i="39"/>
  <c r="P31" i="39"/>
  <c r="I3" i="38"/>
  <c r="P22" i="39"/>
  <c r="P47" i="39"/>
  <c r="P49" i="39"/>
  <c r="E6" i="38"/>
  <c r="AD77" i="37"/>
  <c r="Z77" i="37"/>
  <c r="Y77" i="37"/>
  <c r="M18" i="36" s="1"/>
  <c r="O77" i="37"/>
  <c r="K77" i="37"/>
  <c r="V76" i="37"/>
  <c r="U76" i="37"/>
  <c r="O76" i="37"/>
  <c r="M76" i="37"/>
  <c r="AE76" i="37" s="1"/>
  <c r="K76" i="37"/>
  <c r="G76" i="37"/>
  <c r="V75" i="37"/>
  <c r="M75" i="37" s="1"/>
  <c r="N75" i="37" s="1"/>
  <c r="U75" i="37"/>
  <c r="O75" i="37"/>
  <c r="K75" i="37"/>
  <c r="G75" i="37"/>
  <c r="X74" i="37"/>
  <c r="W74" i="37"/>
  <c r="V74" i="37"/>
  <c r="M74" i="37" s="1"/>
  <c r="AF74" i="37" s="1"/>
  <c r="U74" i="37"/>
  <c r="O74" i="37"/>
  <c r="K74" i="37"/>
  <c r="G74" i="37"/>
  <c r="V73" i="37"/>
  <c r="U73" i="37"/>
  <c r="O73" i="37"/>
  <c r="M73" i="37"/>
  <c r="N73" i="37" s="1"/>
  <c r="K73" i="37"/>
  <c r="G73" i="37"/>
  <c r="V72" i="37"/>
  <c r="M72" i="37" s="1"/>
  <c r="N72" i="37" s="1"/>
  <c r="U72" i="37"/>
  <c r="O72" i="37"/>
  <c r="K72" i="37"/>
  <c r="G72" i="37"/>
  <c r="V71" i="37"/>
  <c r="M71" i="37" s="1"/>
  <c r="N71" i="37" s="1"/>
  <c r="U71" i="37"/>
  <c r="O71" i="37"/>
  <c r="K71" i="37"/>
  <c r="G71" i="37"/>
  <c r="X70" i="37"/>
  <c r="W70" i="37"/>
  <c r="V70" i="37"/>
  <c r="O70" i="37"/>
  <c r="M70" i="37"/>
  <c r="N70" i="37" s="1"/>
  <c r="K70" i="37"/>
  <c r="G70" i="37"/>
  <c r="AD69" i="37"/>
  <c r="J21" i="36" s="1"/>
  <c r="Z69" i="37"/>
  <c r="Y69" i="37"/>
  <c r="O69" i="37"/>
  <c r="K69" i="37"/>
  <c r="V68" i="37"/>
  <c r="M68" i="37" s="1"/>
  <c r="N68" i="37" s="1"/>
  <c r="U68" i="37"/>
  <c r="O68" i="37"/>
  <c r="K68" i="37"/>
  <c r="G68" i="37"/>
  <c r="AF67" i="37"/>
  <c r="V67" i="37"/>
  <c r="U67" i="37"/>
  <c r="O67" i="37"/>
  <c r="M67" i="37"/>
  <c r="AE67" i="37" s="1"/>
  <c r="K67" i="37"/>
  <c r="G67" i="37"/>
  <c r="V66" i="37"/>
  <c r="M66" i="37" s="1"/>
  <c r="N66" i="37" s="1"/>
  <c r="Q66" i="37" s="1"/>
  <c r="U66" i="37"/>
  <c r="O66" i="37"/>
  <c r="K66" i="37"/>
  <c r="G66" i="37"/>
  <c r="V65" i="37"/>
  <c r="M65" i="37" s="1"/>
  <c r="N65" i="37" s="1"/>
  <c r="Q65" i="37" s="1"/>
  <c r="P65" i="37"/>
  <c r="O65" i="37"/>
  <c r="K65" i="37"/>
  <c r="G65" i="37"/>
  <c r="AD64" i="37"/>
  <c r="Z64" i="37"/>
  <c r="I19" i="36" s="1"/>
  <c r="Y64" i="37"/>
  <c r="O64" i="37"/>
  <c r="K64" i="37"/>
  <c r="V63" i="37"/>
  <c r="M63" i="37" s="1"/>
  <c r="U63" i="37"/>
  <c r="O63" i="37"/>
  <c r="K63" i="37"/>
  <c r="G63" i="37"/>
  <c r="X62" i="37"/>
  <c r="W62" i="37"/>
  <c r="V62" i="37"/>
  <c r="M62" i="37" s="1"/>
  <c r="U62" i="37"/>
  <c r="O62" i="37"/>
  <c r="K62" i="37"/>
  <c r="G62" i="37"/>
  <c r="V61" i="37"/>
  <c r="M61" i="37" s="1"/>
  <c r="U61" i="37"/>
  <c r="O61" i="37"/>
  <c r="N61" i="37"/>
  <c r="K61" i="37"/>
  <c r="G61" i="37"/>
  <c r="V60" i="37"/>
  <c r="U60" i="37"/>
  <c r="O60" i="37"/>
  <c r="N60" i="37"/>
  <c r="M60" i="37"/>
  <c r="K60" i="37"/>
  <c r="G60" i="37"/>
  <c r="V59" i="37"/>
  <c r="U59" i="37"/>
  <c r="O59" i="37"/>
  <c r="M59" i="37"/>
  <c r="N59" i="37" s="1"/>
  <c r="K59" i="37"/>
  <c r="G59" i="37"/>
  <c r="V58" i="37"/>
  <c r="M58" i="37" s="1"/>
  <c r="U58" i="37"/>
  <c r="O58" i="37"/>
  <c r="K58" i="37"/>
  <c r="G58" i="37"/>
  <c r="V57" i="37"/>
  <c r="U57" i="37"/>
  <c r="O57" i="37"/>
  <c r="N57" i="37"/>
  <c r="M57" i="37"/>
  <c r="K57" i="37"/>
  <c r="G57" i="37"/>
  <c r="V56" i="37"/>
  <c r="U56" i="37"/>
  <c r="O56" i="37"/>
  <c r="M56" i="37"/>
  <c r="AE56" i="37" s="1"/>
  <c r="K56" i="37"/>
  <c r="G56" i="37"/>
  <c r="V55" i="37"/>
  <c r="M55" i="37" s="1"/>
  <c r="AF55" i="37" s="1"/>
  <c r="O55" i="37"/>
  <c r="K55" i="37"/>
  <c r="G55" i="37"/>
  <c r="AD54" i="37"/>
  <c r="Z54" i="37"/>
  <c r="Y54" i="37"/>
  <c r="O54" i="37"/>
  <c r="K54" i="37"/>
  <c r="H13" i="36" s="1"/>
  <c r="AF53" i="37"/>
  <c r="V53" i="37"/>
  <c r="M53" i="37" s="1"/>
  <c r="N53" i="37" s="1"/>
  <c r="U53" i="37"/>
  <c r="O53" i="37"/>
  <c r="K53" i="37"/>
  <c r="G53" i="37"/>
  <c r="AF52" i="37"/>
  <c r="V52" i="37"/>
  <c r="M52" i="37" s="1"/>
  <c r="N52" i="37" s="1"/>
  <c r="U52" i="37"/>
  <c r="O52" i="37"/>
  <c r="K52" i="37"/>
  <c r="G52" i="37"/>
  <c r="V51" i="37"/>
  <c r="M51" i="37" s="1"/>
  <c r="U51" i="37"/>
  <c r="O51" i="37"/>
  <c r="K51" i="37"/>
  <c r="G51" i="37"/>
  <c r="AF50" i="37"/>
  <c r="AE50" i="37"/>
  <c r="X50" i="37"/>
  <c r="W50" i="37"/>
  <c r="V50" i="37"/>
  <c r="M50" i="37" s="1"/>
  <c r="N50" i="37" s="1"/>
  <c r="U50" i="37"/>
  <c r="O50" i="37"/>
  <c r="K50" i="37"/>
  <c r="G50" i="37"/>
  <c r="V49" i="37"/>
  <c r="U49" i="37"/>
  <c r="O49" i="37"/>
  <c r="N49" i="37"/>
  <c r="P49" i="37" s="1"/>
  <c r="M49" i="37"/>
  <c r="AF49" i="37" s="1"/>
  <c r="K49" i="37"/>
  <c r="G49" i="37"/>
  <c r="V48" i="37"/>
  <c r="M48" i="37" s="1"/>
  <c r="N48" i="37" s="1"/>
  <c r="P48" i="37" s="1"/>
  <c r="U48" i="37"/>
  <c r="Q48" i="37"/>
  <c r="O48" i="37"/>
  <c r="K48" i="37"/>
  <c r="G48" i="37"/>
  <c r="AE47" i="37"/>
  <c r="V47" i="37"/>
  <c r="M47" i="37" s="1"/>
  <c r="U47" i="37"/>
  <c r="O47" i="37"/>
  <c r="K47" i="37"/>
  <c r="G47" i="37"/>
  <c r="V46" i="37"/>
  <c r="M46" i="37" s="1"/>
  <c r="U46" i="37"/>
  <c r="O46" i="37"/>
  <c r="K46" i="37"/>
  <c r="G46" i="37"/>
  <c r="V45" i="37"/>
  <c r="M45" i="37" s="1"/>
  <c r="O45" i="37"/>
  <c r="N45" i="37"/>
  <c r="P45" i="37" s="1"/>
  <c r="K45" i="37"/>
  <c r="G45" i="37"/>
  <c r="AD44" i="37"/>
  <c r="L21" i="36" s="1"/>
  <c r="Z44" i="37"/>
  <c r="Y44" i="37"/>
  <c r="L18" i="36" s="1"/>
  <c r="O44" i="37"/>
  <c r="K44" i="37"/>
  <c r="V43" i="37"/>
  <c r="M43" i="37" s="1"/>
  <c r="U43" i="37"/>
  <c r="O43" i="37"/>
  <c r="K43" i="37"/>
  <c r="G43" i="37"/>
  <c r="V42" i="37"/>
  <c r="M42" i="37" s="1"/>
  <c r="N42" i="37" s="1"/>
  <c r="Q42" i="37" s="1"/>
  <c r="U42" i="37"/>
  <c r="O42" i="37"/>
  <c r="K42" i="37"/>
  <c r="G42" i="37"/>
  <c r="V41" i="37"/>
  <c r="U41" i="37"/>
  <c r="O41" i="37"/>
  <c r="M41" i="37"/>
  <c r="N41" i="37" s="1"/>
  <c r="K41" i="37"/>
  <c r="G41" i="37"/>
  <c r="X40" i="37"/>
  <c r="W40" i="37"/>
  <c r="V40" i="37"/>
  <c r="U40" i="37"/>
  <c r="O40" i="37"/>
  <c r="N40" i="37"/>
  <c r="Q40" i="37" s="1"/>
  <c r="M40" i="37"/>
  <c r="AE40" i="37" s="1"/>
  <c r="K40" i="37"/>
  <c r="G40" i="37"/>
  <c r="V39" i="37"/>
  <c r="U39" i="37"/>
  <c r="O39" i="37"/>
  <c r="M39" i="37"/>
  <c r="N39" i="37" s="1"/>
  <c r="K39" i="37"/>
  <c r="G39" i="37"/>
  <c r="V38" i="37"/>
  <c r="M38" i="37" s="1"/>
  <c r="AE38" i="37" s="1"/>
  <c r="U38" i="37"/>
  <c r="O38" i="37"/>
  <c r="K38" i="37"/>
  <c r="G38" i="37"/>
  <c r="V37" i="37"/>
  <c r="M37" i="37" s="1"/>
  <c r="U37" i="37"/>
  <c r="O37" i="37"/>
  <c r="K37" i="37"/>
  <c r="G37" i="37"/>
  <c r="X36" i="37"/>
  <c r="W36" i="37"/>
  <c r="V36" i="37"/>
  <c r="M36" i="37" s="1"/>
  <c r="O36" i="37"/>
  <c r="K36" i="37"/>
  <c r="G36" i="37"/>
  <c r="AD35" i="37"/>
  <c r="Z35" i="37"/>
  <c r="Y35" i="37"/>
  <c r="O35" i="37"/>
  <c r="K35" i="37"/>
  <c r="V34" i="37"/>
  <c r="M34" i="37" s="1"/>
  <c r="N34" i="37" s="1"/>
  <c r="U34" i="37"/>
  <c r="O34" i="37"/>
  <c r="K34" i="37"/>
  <c r="G34" i="37"/>
  <c r="V33" i="37"/>
  <c r="M33" i="37" s="1"/>
  <c r="N33" i="37" s="1"/>
  <c r="U33" i="37"/>
  <c r="O33" i="37"/>
  <c r="K33" i="37"/>
  <c r="G33" i="37"/>
  <c r="V32" i="37"/>
  <c r="M32" i="37" s="1"/>
  <c r="N32" i="37" s="1"/>
  <c r="U32" i="37"/>
  <c r="O32" i="37"/>
  <c r="K32" i="37"/>
  <c r="G32" i="37"/>
  <c r="X31" i="37"/>
  <c r="W31" i="37"/>
  <c r="V31" i="37"/>
  <c r="M31" i="37" s="1"/>
  <c r="N31" i="37" s="1"/>
  <c r="U31" i="37"/>
  <c r="O31" i="37"/>
  <c r="K31" i="37"/>
  <c r="G31" i="37"/>
  <c r="V30" i="37"/>
  <c r="M30" i="37" s="1"/>
  <c r="N30" i="37" s="1"/>
  <c r="U30" i="37"/>
  <c r="O30" i="37"/>
  <c r="K30" i="37"/>
  <c r="G30" i="37"/>
  <c r="V29" i="37"/>
  <c r="M29" i="37" s="1"/>
  <c r="U29" i="37"/>
  <c r="O29" i="37"/>
  <c r="K29" i="37"/>
  <c r="G29" i="37"/>
  <c r="V28" i="37"/>
  <c r="M28" i="37" s="1"/>
  <c r="N28" i="37" s="1"/>
  <c r="Q28" i="37" s="1"/>
  <c r="U28" i="37"/>
  <c r="O28" i="37"/>
  <c r="K28" i="37"/>
  <c r="G28" i="37"/>
  <c r="AF27" i="37"/>
  <c r="X27" i="37"/>
  <c r="W27" i="37"/>
  <c r="V27" i="37"/>
  <c r="M27" i="37" s="1"/>
  <c r="N27" i="37" s="1"/>
  <c r="O27" i="37"/>
  <c r="K27" i="37"/>
  <c r="G27" i="37"/>
  <c r="AD26" i="37"/>
  <c r="Z26" i="37"/>
  <c r="G19" i="36" s="1"/>
  <c r="Y26" i="37"/>
  <c r="G18" i="36" s="1"/>
  <c r="O26" i="37"/>
  <c r="K26" i="37"/>
  <c r="V25" i="37"/>
  <c r="M25" i="37" s="1"/>
  <c r="N25" i="37" s="1"/>
  <c r="Q25" i="37" s="1"/>
  <c r="U25" i="37"/>
  <c r="O25" i="37"/>
  <c r="K25" i="37"/>
  <c r="G25" i="37"/>
  <c r="X24" i="37"/>
  <c r="W24" i="37"/>
  <c r="V24" i="37"/>
  <c r="M24" i="37" s="1"/>
  <c r="U24" i="37"/>
  <c r="O24" i="37"/>
  <c r="K24" i="37"/>
  <c r="G24" i="37"/>
  <c r="AE23" i="37"/>
  <c r="V23" i="37"/>
  <c r="M23" i="37" s="1"/>
  <c r="N23" i="37" s="1"/>
  <c r="Q23" i="37" s="1"/>
  <c r="U23" i="37"/>
  <c r="O23" i="37"/>
  <c r="K23" i="37"/>
  <c r="G23" i="37"/>
  <c r="V22" i="37"/>
  <c r="M22" i="37" s="1"/>
  <c r="U22" i="37"/>
  <c r="O22" i="37"/>
  <c r="K22" i="37"/>
  <c r="G22" i="37"/>
  <c r="V21" i="37"/>
  <c r="M21" i="37" s="1"/>
  <c r="U21" i="37"/>
  <c r="O21" i="37"/>
  <c r="N21" i="37"/>
  <c r="Q21" i="37" s="1"/>
  <c r="K21" i="37"/>
  <c r="G21" i="37"/>
  <c r="V20" i="37"/>
  <c r="M20" i="37" s="1"/>
  <c r="N20" i="37" s="1"/>
  <c r="O20" i="37"/>
  <c r="K20" i="37"/>
  <c r="G20" i="37"/>
  <c r="AD19" i="37"/>
  <c r="Z19" i="37"/>
  <c r="F19" i="36" s="1"/>
  <c r="Y19" i="37"/>
  <c r="F18" i="36" s="1"/>
  <c r="O19" i="37"/>
  <c r="K19" i="37"/>
  <c r="V18" i="37"/>
  <c r="M18" i="37" s="1"/>
  <c r="N18" i="37" s="1"/>
  <c r="Q18" i="37" s="1"/>
  <c r="U18" i="37"/>
  <c r="O18" i="37"/>
  <c r="K18" i="37"/>
  <c r="G18" i="37"/>
  <c r="V17" i="37"/>
  <c r="U17" i="37"/>
  <c r="O17" i="37"/>
  <c r="M17" i="37"/>
  <c r="N17" i="37" s="1"/>
  <c r="K17" i="37"/>
  <c r="G17" i="37"/>
  <c r="V16" i="37"/>
  <c r="U16" i="37"/>
  <c r="O16" i="37"/>
  <c r="M16" i="37"/>
  <c r="N16" i="37" s="1"/>
  <c r="K16" i="37"/>
  <c r="G16" i="37"/>
  <c r="V15" i="37"/>
  <c r="M15" i="37" s="1"/>
  <c r="O15" i="37"/>
  <c r="K15" i="37"/>
  <c r="G15" i="37"/>
  <c r="AD14" i="37"/>
  <c r="E21" i="36" s="1"/>
  <c r="Z14" i="37"/>
  <c r="Y14" i="37"/>
  <c r="O14" i="37"/>
  <c r="K14" i="37"/>
  <c r="V13" i="37"/>
  <c r="M13" i="37" s="1"/>
  <c r="U13" i="37"/>
  <c r="O13" i="37"/>
  <c r="K13" i="37"/>
  <c r="G13" i="37"/>
  <c r="AF12" i="37"/>
  <c r="X12" i="37"/>
  <c r="W12" i="37"/>
  <c r="V12" i="37"/>
  <c r="U12" i="37"/>
  <c r="O12" i="37"/>
  <c r="N12" i="37"/>
  <c r="M12" i="37"/>
  <c r="AE12" i="37" s="1"/>
  <c r="K12" i="37"/>
  <c r="G12" i="37"/>
  <c r="V11" i="37"/>
  <c r="O11" i="37"/>
  <c r="M11" i="37"/>
  <c r="AE11" i="37" s="1"/>
  <c r="K11" i="37"/>
  <c r="G11" i="37"/>
  <c r="AD10" i="37"/>
  <c r="Z10" i="37"/>
  <c r="Y10" i="37"/>
  <c r="O10" i="37"/>
  <c r="K10" i="37"/>
  <c r="D13" i="36" s="1"/>
  <c r="V9" i="37"/>
  <c r="M9" i="37" s="1"/>
  <c r="N9" i="37" s="1"/>
  <c r="U9" i="37"/>
  <c r="O9" i="37"/>
  <c r="K9" i="37"/>
  <c r="G9" i="37"/>
  <c r="V8" i="37"/>
  <c r="M8" i="37" s="1"/>
  <c r="N8" i="37" s="1"/>
  <c r="U8" i="37"/>
  <c r="O8" i="37"/>
  <c r="K8" i="37"/>
  <c r="G8" i="37"/>
  <c r="V7" i="37"/>
  <c r="M7" i="37" s="1"/>
  <c r="U7" i="37"/>
  <c r="O7" i="37"/>
  <c r="K7" i="37"/>
  <c r="G7" i="37"/>
  <c r="V6" i="37"/>
  <c r="M6" i="37" s="1"/>
  <c r="N6" i="37" s="1"/>
  <c r="Q6" i="37" s="1"/>
  <c r="U6" i="37"/>
  <c r="O6" i="37"/>
  <c r="K6" i="37"/>
  <c r="G6" i="37"/>
  <c r="V5" i="37"/>
  <c r="M5" i="37" s="1"/>
  <c r="N5" i="37" s="1"/>
  <c r="Q5" i="37" s="1"/>
  <c r="O5" i="37"/>
  <c r="K5" i="37"/>
  <c r="G5" i="37"/>
  <c r="H2" i="37"/>
  <c r="H1" i="37"/>
  <c r="D1" i="37"/>
  <c r="M22" i="36"/>
  <c r="L22" i="36"/>
  <c r="K22" i="36"/>
  <c r="J22" i="36"/>
  <c r="I22" i="36"/>
  <c r="H22" i="36"/>
  <c r="G22" i="36"/>
  <c r="F22" i="36"/>
  <c r="E22" i="36"/>
  <c r="D22" i="36"/>
  <c r="M21" i="36"/>
  <c r="K21" i="36"/>
  <c r="H21" i="36"/>
  <c r="G21" i="36"/>
  <c r="F21" i="36"/>
  <c r="D21" i="36"/>
  <c r="M20" i="36"/>
  <c r="L20" i="36"/>
  <c r="K20" i="36"/>
  <c r="J20" i="36"/>
  <c r="I20" i="36"/>
  <c r="H20" i="36"/>
  <c r="G20" i="36"/>
  <c r="F20" i="36"/>
  <c r="E20" i="36"/>
  <c r="D20" i="36"/>
  <c r="M19" i="36"/>
  <c r="L19" i="36"/>
  <c r="K19" i="36"/>
  <c r="J19" i="36"/>
  <c r="H19" i="36"/>
  <c r="E19" i="36"/>
  <c r="D19" i="36"/>
  <c r="K18" i="36"/>
  <c r="J18" i="36"/>
  <c r="I18" i="36"/>
  <c r="H18" i="36"/>
  <c r="E18" i="36"/>
  <c r="D18" i="36"/>
  <c r="M17" i="36"/>
  <c r="L17" i="36"/>
  <c r="K17" i="36"/>
  <c r="J17" i="36"/>
  <c r="I17" i="36"/>
  <c r="H17" i="36"/>
  <c r="G17" i="36"/>
  <c r="F17" i="36"/>
  <c r="E17" i="36"/>
  <c r="D17" i="36"/>
  <c r="M16" i="36"/>
  <c r="L16" i="36"/>
  <c r="K16" i="36"/>
  <c r="J16" i="36"/>
  <c r="I16" i="36"/>
  <c r="H16" i="36"/>
  <c r="G16" i="36"/>
  <c r="F16" i="36"/>
  <c r="E16" i="36"/>
  <c r="D16" i="36"/>
  <c r="M13" i="36"/>
  <c r="L13" i="36"/>
  <c r="K13" i="36"/>
  <c r="I6" i="36" s="1"/>
  <c r="J13" i="36"/>
  <c r="I13" i="36"/>
  <c r="G13" i="36"/>
  <c r="F13" i="36"/>
  <c r="E13" i="36"/>
  <c r="M6" i="36"/>
  <c r="F3" i="36"/>
  <c r="C3" i="36"/>
  <c r="Q59" i="37" l="1"/>
  <c r="P59" i="37"/>
  <c r="AF51" i="37"/>
  <c r="AE51" i="37"/>
  <c r="N51" i="37"/>
  <c r="AE24" i="37"/>
  <c r="N24" i="37"/>
  <c r="AF24" i="37"/>
  <c r="N13" i="37"/>
  <c r="AF13" i="37"/>
  <c r="AE13" i="37"/>
  <c r="AF36" i="37"/>
  <c r="AE36" i="37"/>
  <c r="AF29" i="37"/>
  <c r="AE29" i="37"/>
  <c r="N29" i="37"/>
  <c r="N37" i="37"/>
  <c r="AF37" i="37"/>
  <c r="AF7" i="37"/>
  <c r="AE7" i="37"/>
  <c r="N7" i="37"/>
  <c r="AE27" i="37"/>
  <c r="F6" i="36"/>
  <c r="N41" i="39"/>
  <c r="AF41" i="39"/>
  <c r="AG34" i="39" s="1"/>
  <c r="AE41" i="39"/>
  <c r="AE33" i="37"/>
  <c r="AE48" i="37"/>
  <c r="Q23" i="39"/>
  <c r="P23" i="39"/>
  <c r="Q72" i="39"/>
  <c r="P72" i="39"/>
  <c r="Q17" i="39"/>
  <c r="P17" i="39"/>
  <c r="P23" i="37"/>
  <c r="AE30" i="37"/>
  <c r="AF33" i="37"/>
  <c r="AF48" i="37"/>
  <c r="AF56" i="37"/>
  <c r="P45" i="39"/>
  <c r="Q45" i="39"/>
  <c r="Q50" i="39"/>
  <c r="P50" i="39"/>
  <c r="P25" i="37"/>
  <c r="AF30" i="37"/>
  <c r="P28" i="37"/>
  <c r="AE53" i="37"/>
  <c r="Q51" i="39"/>
  <c r="P51" i="39"/>
  <c r="Q55" i="39"/>
  <c r="P55" i="39"/>
  <c r="Q56" i="39"/>
  <c r="P56" i="39"/>
  <c r="G6" i="36"/>
  <c r="Q16" i="39"/>
  <c r="P16" i="39"/>
  <c r="AF23" i="37"/>
  <c r="AE25" i="37"/>
  <c r="Q37" i="39"/>
  <c r="P37" i="39"/>
  <c r="AF14" i="39"/>
  <c r="AG11" i="39" s="1"/>
  <c r="AE14" i="39"/>
  <c r="N14" i="39"/>
  <c r="Q32" i="39"/>
  <c r="P32" i="39"/>
  <c r="Q49" i="37"/>
  <c r="Q60" i="37"/>
  <c r="Q8" i="39"/>
  <c r="P8" i="39"/>
  <c r="Q7" i="39"/>
  <c r="P7" i="39"/>
  <c r="N67" i="37"/>
  <c r="Q5" i="39"/>
  <c r="P5" i="39"/>
  <c r="AF10" i="39"/>
  <c r="AG5" i="39" s="1"/>
  <c r="AE10" i="39"/>
  <c r="N19" i="39"/>
  <c r="AF19" i="39"/>
  <c r="AG15" i="39" s="1"/>
  <c r="AE19" i="39"/>
  <c r="Q53" i="39"/>
  <c r="P53" i="39"/>
  <c r="Q6" i="39"/>
  <c r="P6" i="39"/>
  <c r="Q70" i="39"/>
  <c r="P70" i="39"/>
  <c r="Q39" i="39"/>
  <c r="P39" i="39"/>
  <c r="P5" i="37"/>
  <c r="AE49" i="37"/>
  <c r="AF73" i="37"/>
  <c r="Q69" i="39"/>
  <c r="P69" i="39"/>
  <c r="Q38" i="39"/>
  <c r="P38" i="39"/>
  <c r="Q58" i="39"/>
  <c r="P58" i="39"/>
  <c r="AF40" i="37"/>
  <c r="AF76" i="37"/>
  <c r="Q35" i="39"/>
  <c r="P35" i="39"/>
  <c r="Q54" i="39"/>
  <c r="P54" i="39"/>
  <c r="AE70" i="37"/>
  <c r="N62" i="39"/>
  <c r="AF62" i="39"/>
  <c r="AG53" i="39" s="1"/>
  <c r="AE62" i="39"/>
  <c r="Q36" i="39"/>
  <c r="P36" i="39"/>
  <c r="Q61" i="39"/>
  <c r="P61" i="39"/>
  <c r="AE8" i="37"/>
  <c r="Q61" i="37"/>
  <c r="AF70" i="37"/>
  <c r="D2" i="41"/>
  <c r="P42" i="39"/>
  <c r="Q42" i="39"/>
  <c r="Q67" i="39"/>
  <c r="P67" i="39"/>
  <c r="Q48" i="39"/>
  <c r="P48" i="39"/>
  <c r="AF33" i="39"/>
  <c r="AG26" i="39" s="1"/>
  <c r="AE33" i="39"/>
  <c r="N33" i="39"/>
  <c r="P60" i="39"/>
  <c r="Q60" i="39"/>
  <c r="Q71" i="39"/>
  <c r="P71" i="39"/>
  <c r="AE52" i="37"/>
  <c r="K15" i="42"/>
  <c r="I8" i="42" s="1"/>
  <c r="I7" i="42"/>
  <c r="D15" i="42"/>
  <c r="G7" i="42"/>
  <c r="F7" i="42"/>
  <c r="E7" i="42"/>
  <c r="Q67" i="41"/>
  <c r="R61" i="41" s="1"/>
  <c r="P67" i="41"/>
  <c r="M14" i="40"/>
  <c r="M15" i="40" s="1"/>
  <c r="Q17" i="41"/>
  <c r="R13" i="41" s="1"/>
  <c r="P17" i="41"/>
  <c r="F14" i="40"/>
  <c r="F15" i="40" s="1"/>
  <c r="D15" i="40"/>
  <c r="Q56" i="41"/>
  <c r="R48" i="41" s="1"/>
  <c r="P56" i="41"/>
  <c r="I14" i="40"/>
  <c r="I15" i="40" s="1"/>
  <c r="P12" i="41"/>
  <c r="Q12" i="41"/>
  <c r="R10" i="41" s="1"/>
  <c r="E14" i="40"/>
  <c r="E15" i="40" s="1"/>
  <c r="Q30" i="41"/>
  <c r="R24" i="41" s="1"/>
  <c r="P30" i="41"/>
  <c r="K14" i="40"/>
  <c r="Q38" i="41"/>
  <c r="R31" i="41" s="1"/>
  <c r="P38" i="41"/>
  <c r="L14" i="40"/>
  <c r="L15" i="40" s="1"/>
  <c r="Q47" i="41"/>
  <c r="R39" i="41" s="1"/>
  <c r="P47" i="41"/>
  <c r="H14" i="40"/>
  <c r="H15" i="40" s="1"/>
  <c r="Q60" i="41"/>
  <c r="R57" i="41" s="1"/>
  <c r="P60" i="41"/>
  <c r="J14" i="40"/>
  <c r="J15" i="40" s="1"/>
  <c r="AF73" i="39"/>
  <c r="AG67" i="39" s="1"/>
  <c r="AE73" i="39"/>
  <c r="N73" i="39"/>
  <c r="AF52" i="39"/>
  <c r="AG42" i="39" s="1"/>
  <c r="AE52" i="39"/>
  <c r="N52" i="39"/>
  <c r="D2" i="39"/>
  <c r="Q10" i="39"/>
  <c r="R5" i="39" s="1"/>
  <c r="P10" i="39"/>
  <c r="D14" i="38"/>
  <c r="AF25" i="39"/>
  <c r="AG20" i="39" s="1"/>
  <c r="AE25" i="39"/>
  <c r="N25" i="39"/>
  <c r="Q17" i="37"/>
  <c r="P17" i="37"/>
  <c r="P20" i="37"/>
  <c r="Q20" i="37"/>
  <c r="N22" i="37"/>
  <c r="AF22" i="37"/>
  <c r="AF58" i="37"/>
  <c r="AE58" i="37"/>
  <c r="AF63" i="37"/>
  <c r="AE63" i="37"/>
  <c r="Q12" i="37"/>
  <c r="P12" i="37"/>
  <c r="AE18" i="37"/>
  <c r="AF18" i="37"/>
  <c r="Q30" i="37"/>
  <c r="P30" i="37"/>
  <c r="Q39" i="37"/>
  <c r="P39" i="37"/>
  <c r="AF42" i="37"/>
  <c r="AE42" i="37"/>
  <c r="Q53" i="37"/>
  <c r="P53" i="37"/>
  <c r="AE5" i="37"/>
  <c r="M10" i="37"/>
  <c r="M14" i="37"/>
  <c r="AE32" i="37"/>
  <c r="AF41" i="37"/>
  <c r="AE41" i="37"/>
  <c r="Q52" i="37"/>
  <c r="P52" i="37"/>
  <c r="P61" i="37"/>
  <c r="AE65" i="37"/>
  <c r="M77" i="37"/>
  <c r="AF5" i="37"/>
  <c r="Q8" i="37"/>
  <c r="P8" i="37"/>
  <c r="AF21" i="37"/>
  <c r="AE21" i="37"/>
  <c r="AF32" i="37"/>
  <c r="Q41" i="37"/>
  <c r="P41" i="37"/>
  <c r="AF45" i="37"/>
  <c r="AE45" i="37"/>
  <c r="AF57" i="37"/>
  <c r="AE57" i="37"/>
  <c r="AF60" i="37"/>
  <c r="AE60" i="37"/>
  <c r="AF65" i="37"/>
  <c r="Q68" i="37"/>
  <c r="P68" i="37"/>
  <c r="AE75" i="37"/>
  <c r="M19" i="37"/>
  <c r="AF15" i="37"/>
  <c r="AE15" i="37"/>
  <c r="AE22" i="37"/>
  <c r="AF46" i="37"/>
  <c r="AE46" i="37"/>
  <c r="AE55" i="37"/>
  <c r="M64" i="37"/>
  <c r="N58" i="37"/>
  <c r="AE66" i="37"/>
  <c r="P21" i="37"/>
  <c r="N11" i="37"/>
  <c r="AF17" i="37"/>
  <c r="AE17" i="37"/>
  <c r="Q32" i="37"/>
  <c r="P32" i="37"/>
  <c r="Q45" i="37"/>
  <c r="M54" i="37"/>
  <c r="AF72" i="37"/>
  <c r="N74" i="37"/>
  <c r="Q31" i="37"/>
  <c r="P31" i="37"/>
  <c r="P37" i="37"/>
  <c r="Q37" i="37"/>
  <c r="Q57" i="37"/>
  <c r="P57" i="37"/>
  <c r="AE68" i="37"/>
  <c r="P70" i="37"/>
  <c r="Q70" i="37"/>
  <c r="Q71" i="37"/>
  <c r="P71" i="37"/>
  <c r="P73" i="37"/>
  <c r="Q73" i="37"/>
  <c r="AF75" i="37"/>
  <c r="Q9" i="37"/>
  <c r="P9" i="37"/>
  <c r="AE6" i="37"/>
  <c r="AE9" i="37"/>
  <c r="Y2" i="37"/>
  <c r="K6" i="36" s="1"/>
  <c r="AF8" i="37"/>
  <c r="AF25" i="37"/>
  <c r="Q27" i="37"/>
  <c r="P27" i="37"/>
  <c r="AE28" i="37"/>
  <c r="AE34" i="37"/>
  <c r="M44" i="37"/>
  <c r="AF38" i="37"/>
  <c r="AE43" i="37"/>
  <c r="AF43" i="37"/>
  <c r="AF61" i="37"/>
  <c r="AE61" i="37"/>
  <c r="N63" i="37"/>
  <c r="I21" i="36"/>
  <c r="AD2" i="37"/>
  <c r="N6" i="36" s="1"/>
  <c r="AF68" i="37"/>
  <c r="AE71" i="37"/>
  <c r="P34" i="37"/>
  <c r="Q34" i="37"/>
  <c r="AF11" i="37"/>
  <c r="Z2" i="37"/>
  <c r="L6" i="36" s="1"/>
  <c r="AF16" i="37"/>
  <c r="AE16" i="37"/>
  <c r="AF28" i="37"/>
  <c r="AF34" i="37"/>
  <c r="N36" i="37"/>
  <c r="P40" i="37"/>
  <c r="N43" i="37"/>
  <c r="N46" i="37"/>
  <c r="N47" i="37"/>
  <c r="AF47" i="37"/>
  <c r="AE59" i="37"/>
  <c r="AF59" i="37"/>
  <c r="P60" i="37"/>
  <c r="AF71" i="37"/>
  <c r="Q72" i="37"/>
  <c r="P72" i="37"/>
  <c r="P75" i="37"/>
  <c r="Q75" i="37"/>
  <c r="AF6" i="37"/>
  <c r="AF9" i="37"/>
  <c r="N15" i="37"/>
  <c r="P18" i="37"/>
  <c r="P42" i="37"/>
  <c r="N38" i="37"/>
  <c r="E6" i="36"/>
  <c r="F1" i="37"/>
  <c r="P6" i="37"/>
  <c r="P13" i="37"/>
  <c r="Q13" i="37"/>
  <c r="Q16" i="37"/>
  <c r="P16" i="37"/>
  <c r="M26" i="37"/>
  <c r="AF20" i="37"/>
  <c r="AE20" i="37"/>
  <c r="AE31" i="37"/>
  <c r="Q50" i="37"/>
  <c r="P50" i="37"/>
  <c r="P66" i="37"/>
  <c r="M69" i="37"/>
  <c r="AE74" i="37"/>
  <c r="N55" i="37"/>
  <c r="N62" i="37"/>
  <c r="AF62" i="37"/>
  <c r="AE62" i="37"/>
  <c r="AF66" i="37"/>
  <c r="AE72" i="37"/>
  <c r="AF31" i="37"/>
  <c r="Q33" i="37"/>
  <c r="P33" i="37"/>
  <c r="M35" i="37"/>
  <c r="AE37" i="37"/>
  <c r="AF39" i="37"/>
  <c r="AE39" i="37"/>
  <c r="N56" i="37"/>
  <c r="AE73" i="37"/>
  <c r="N76" i="37"/>
  <c r="M22" i="35"/>
  <c r="L22" i="35"/>
  <c r="K22" i="35"/>
  <c r="J22" i="35"/>
  <c r="I22" i="35"/>
  <c r="H22" i="35"/>
  <c r="G22" i="35"/>
  <c r="F22" i="35"/>
  <c r="E22" i="35"/>
  <c r="D22" i="35"/>
  <c r="M20" i="35"/>
  <c r="L20" i="35"/>
  <c r="K20" i="35"/>
  <c r="J20" i="35"/>
  <c r="I20" i="35"/>
  <c r="H20" i="35"/>
  <c r="G20" i="35"/>
  <c r="F20" i="35"/>
  <c r="E20" i="35"/>
  <c r="D20" i="35"/>
  <c r="M17" i="35"/>
  <c r="L17" i="35"/>
  <c r="K17" i="35"/>
  <c r="J17" i="35"/>
  <c r="I17" i="35"/>
  <c r="H17" i="35"/>
  <c r="G17" i="35"/>
  <c r="F17" i="35"/>
  <c r="E17" i="35"/>
  <c r="D17" i="35"/>
  <c r="M16" i="35"/>
  <c r="L16" i="35"/>
  <c r="K16" i="35"/>
  <c r="J16" i="35"/>
  <c r="I16" i="35"/>
  <c r="H16" i="35"/>
  <c r="G16" i="35"/>
  <c r="F16" i="35"/>
  <c r="E16" i="35"/>
  <c r="D16" i="35"/>
  <c r="J13" i="35"/>
  <c r="M6" i="35"/>
  <c r="C3" i="35"/>
  <c r="AD80" i="34"/>
  <c r="M21" i="35" s="1"/>
  <c r="Z80" i="34"/>
  <c r="M19" i="35" s="1"/>
  <c r="Y80" i="34"/>
  <c r="M18" i="35" s="1"/>
  <c r="O80" i="34"/>
  <c r="K80" i="34"/>
  <c r="M13" i="35" s="1"/>
  <c r="V79" i="34"/>
  <c r="M79" i="34" s="1"/>
  <c r="AE79" i="34" s="1"/>
  <c r="U79" i="34"/>
  <c r="O79" i="34"/>
  <c r="K79" i="34"/>
  <c r="G79" i="34"/>
  <c r="V78" i="34"/>
  <c r="U78" i="34"/>
  <c r="O78" i="34"/>
  <c r="M78" i="34"/>
  <c r="N78" i="34" s="1"/>
  <c r="K78" i="34"/>
  <c r="G78" i="34"/>
  <c r="AF77" i="34"/>
  <c r="X77" i="34"/>
  <c r="W77" i="34"/>
  <c r="V77" i="34"/>
  <c r="U77" i="34"/>
  <c r="O77" i="34"/>
  <c r="M77" i="34"/>
  <c r="N77" i="34" s="1"/>
  <c r="K77" i="34"/>
  <c r="G77" i="34"/>
  <c r="V76" i="34"/>
  <c r="U76" i="34"/>
  <c r="O76" i="34"/>
  <c r="M76" i="34"/>
  <c r="N76" i="34" s="1"/>
  <c r="K76" i="34"/>
  <c r="G76" i="34"/>
  <c r="V75" i="34"/>
  <c r="U75" i="34"/>
  <c r="O75" i="34"/>
  <c r="M75" i="34"/>
  <c r="AE75" i="34" s="1"/>
  <c r="K75" i="34"/>
  <c r="G75" i="34"/>
  <c r="V74" i="34"/>
  <c r="U74" i="34"/>
  <c r="O74" i="34"/>
  <c r="M74" i="34"/>
  <c r="N74" i="34" s="1"/>
  <c r="K74" i="34"/>
  <c r="G74" i="34"/>
  <c r="X73" i="34"/>
  <c r="W73" i="34"/>
  <c r="V73" i="34"/>
  <c r="O73" i="34"/>
  <c r="M73" i="34"/>
  <c r="N73" i="34" s="1"/>
  <c r="K73" i="34"/>
  <c r="G73" i="34"/>
  <c r="AD72" i="34"/>
  <c r="J21" i="35" s="1"/>
  <c r="Z72" i="34"/>
  <c r="J19" i="35" s="1"/>
  <c r="Y72" i="34"/>
  <c r="J18" i="35" s="1"/>
  <c r="O72" i="34"/>
  <c r="K72" i="34"/>
  <c r="V71" i="34"/>
  <c r="M71" i="34" s="1"/>
  <c r="U71" i="34"/>
  <c r="O71" i="34"/>
  <c r="K71" i="34"/>
  <c r="G71" i="34"/>
  <c r="V70" i="34"/>
  <c r="M70" i="34" s="1"/>
  <c r="U70" i="34"/>
  <c r="O70" i="34"/>
  <c r="K70" i="34"/>
  <c r="G70" i="34"/>
  <c r="V69" i="34"/>
  <c r="M69" i="34" s="1"/>
  <c r="U69" i="34"/>
  <c r="O69" i="34"/>
  <c r="K69" i="34"/>
  <c r="G69" i="34"/>
  <c r="V68" i="34"/>
  <c r="M68" i="34" s="1"/>
  <c r="O68" i="34"/>
  <c r="K68" i="34"/>
  <c r="G68" i="34"/>
  <c r="AD67" i="34"/>
  <c r="I21" i="35" s="1"/>
  <c r="Z67" i="34"/>
  <c r="I19" i="35" s="1"/>
  <c r="Y67" i="34"/>
  <c r="I18" i="35" s="1"/>
  <c r="O67" i="34"/>
  <c r="K67" i="34"/>
  <c r="I13" i="35" s="1"/>
  <c r="V66" i="34"/>
  <c r="M66" i="34" s="1"/>
  <c r="U66" i="34"/>
  <c r="O66" i="34"/>
  <c r="K66" i="34"/>
  <c r="G66" i="34"/>
  <c r="X65" i="34"/>
  <c r="W65" i="34"/>
  <c r="V65" i="34"/>
  <c r="M65" i="34" s="1"/>
  <c r="U65" i="34"/>
  <c r="O65" i="34"/>
  <c r="K65" i="34"/>
  <c r="G65" i="34"/>
  <c r="V64" i="34"/>
  <c r="M64" i="34" s="1"/>
  <c r="U64" i="34"/>
  <c r="O64" i="34"/>
  <c r="K64" i="34"/>
  <c r="G64" i="34"/>
  <c r="V63" i="34"/>
  <c r="M63" i="34" s="1"/>
  <c r="U63" i="34"/>
  <c r="O63" i="34"/>
  <c r="K63" i="34"/>
  <c r="G63" i="34"/>
  <c r="V62" i="34"/>
  <c r="M62" i="34" s="1"/>
  <c r="U62" i="34"/>
  <c r="O62" i="34"/>
  <c r="K62" i="34"/>
  <c r="G62" i="34"/>
  <c r="V61" i="34"/>
  <c r="U61" i="34"/>
  <c r="O61" i="34"/>
  <c r="M61" i="34"/>
  <c r="AF61" i="34" s="1"/>
  <c r="K61" i="34"/>
  <c r="G61" i="34"/>
  <c r="V60" i="34"/>
  <c r="M60" i="34" s="1"/>
  <c r="AF60" i="34" s="1"/>
  <c r="U60" i="34"/>
  <c r="O60" i="34"/>
  <c r="K60" i="34"/>
  <c r="G60" i="34"/>
  <c r="V59" i="34"/>
  <c r="U59" i="34"/>
  <c r="O59" i="34"/>
  <c r="M59" i="34"/>
  <c r="AE59" i="34" s="1"/>
  <c r="K59" i="34"/>
  <c r="G59" i="34"/>
  <c r="V58" i="34"/>
  <c r="O58" i="34"/>
  <c r="M58" i="34"/>
  <c r="AE58" i="34" s="1"/>
  <c r="K58" i="34"/>
  <c r="G58" i="34"/>
  <c r="AD57" i="34"/>
  <c r="H21" i="35" s="1"/>
  <c r="Z57" i="34"/>
  <c r="H19" i="35" s="1"/>
  <c r="Y57" i="34"/>
  <c r="H18" i="35" s="1"/>
  <c r="O57" i="34"/>
  <c r="K57" i="34"/>
  <c r="H13" i="35" s="1"/>
  <c r="V56" i="34"/>
  <c r="M56" i="34" s="1"/>
  <c r="U56" i="34"/>
  <c r="O56" i="34"/>
  <c r="K56" i="34"/>
  <c r="G56" i="34"/>
  <c r="V55" i="34"/>
  <c r="U55" i="34"/>
  <c r="O55" i="34"/>
  <c r="M55" i="34"/>
  <c r="N55" i="34" s="1"/>
  <c r="K55" i="34"/>
  <c r="G55" i="34"/>
  <c r="V54" i="34"/>
  <c r="M54" i="34" s="1"/>
  <c r="U54" i="34"/>
  <c r="O54" i="34"/>
  <c r="K54" i="34"/>
  <c r="G54" i="34"/>
  <c r="V53" i="34"/>
  <c r="M53" i="34" s="1"/>
  <c r="U53" i="34"/>
  <c r="O53" i="34"/>
  <c r="K53" i="34"/>
  <c r="G53" i="34"/>
  <c r="X52" i="34"/>
  <c r="W52" i="34"/>
  <c r="V52" i="34"/>
  <c r="M52" i="34" s="1"/>
  <c r="U52" i="34"/>
  <c r="O52" i="34"/>
  <c r="K52" i="34"/>
  <c r="G52" i="34"/>
  <c r="V51" i="34"/>
  <c r="M51" i="34" s="1"/>
  <c r="U51" i="34"/>
  <c r="O51" i="34"/>
  <c r="K51" i="34"/>
  <c r="G51" i="34"/>
  <c r="V50" i="34"/>
  <c r="M50" i="34" s="1"/>
  <c r="U50" i="34"/>
  <c r="O50" i="34"/>
  <c r="K50" i="34"/>
  <c r="G50" i="34"/>
  <c r="V49" i="34"/>
  <c r="M49" i="34" s="1"/>
  <c r="U49" i="34"/>
  <c r="O49" i="34"/>
  <c r="K49" i="34"/>
  <c r="G49" i="34"/>
  <c r="V48" i="34"/>
  <c r="M48" i="34" s="1"/>
  <c r="U48" i="34"/>
  <c r="O48" i="34"/>
  <c r="K48" i="34"/>
  <c r="G48" i="34"/>
  <c r="V47" i="34"/>
  <c r="M47" i="34" s="1"/>
  <c r="O47" i="34"/>
  <c r="K47" i="34"/>
  <c r="G47" i="34"/>
  <c r="AD46" i="34"/>
  <c r="L21" i="35" s="1"/>
  <c r="Z46" i="34"/>
  <c r="L19" i="35" s="1"/>
  <c r="Y46" i="34"/>
  <c r="L18" i="35" s="1"/>
  <c r="O46" i="34"/>
  <c r="K46" i="34"/>
  <c r="L13" i="35" s="1"/>
  <c r="V45" i="34"/>
  <c r="U45" i="34"/>
  <c r="O45" i="34"/>
  <c r="M45" i="34"/>
  <c r="AF45" i="34" s="1"/>
  <c r="K45" i="34"/>
  <c r="G45" i="34"/>
  <c r="V44" i="34"/>
  <c r="U44" i="34"/>
  <c r="O44" i="34"/>
  <c r="M44" i="34"/>
  <c r="AF44" i="34" s="1"/>
  <c r="K44" i="34"/>
  <c r="G44" i="34"/>
  <c r="V43" i="34"/>
  <c r="M43" i="34" s="1"/>
  <c r="AE43" i="34" s="1"/>
  <c r="U43" i="34"/>
  <c r="O43" i="34"/>
  <c r="K43" i="34"/>
  <c r="G43" i="34"/>
  <c r="V42" i="34"/>
  <c r="U42" i="34"/>
  <c r="O42" i="34"/>
  <c r="M42" i="34"/>
  <c r="N42" i="34" s="1"/>
  <c r="K42" i="34"/>
  <c r="G42" i="34"/>
  <c r="X41" i="34"/>
  <c r="W41" i="34"/>
  <c r="V41" i="34"/>
  <c r="U41" i="34"/>
  <c r="O41" i="34"/>
  <c r="M41" i="34"/>
  <c r="N41" i="34" s="1"/>
  <c r="K41" i="34"/>
  <c r="G41" i="34"/>
  <c r="V40" i="34"/>
  <c r="M40" i="34" s="1"/>
  <c r="N40" i="34" s="1"/>
  <c r="U40" i="34"/>
  <c r="O40" i="34"/>
  <c r="K40" i="34"/>
  <c r="G40" i="34"/>
  <c r="V39" i="34"/>
  <c r="U39" i="34"/>
  <c r="O39" i="34"/>
  <c r="M39" i="34"/>
  <c r="AE39" i="34" s="1"/>
  <c r="K39" i="34"/>
  <c r="G39" i="34"/>
  <c r="V38" i="34"/>
  <c r="U38" i="34"/>
  <c r="O38" i="34"/>
  <c r="M38" i="34"/>
  <c r="N38" i="34" s="1"/>
  <c r="K38" i="34"/>
  <c r="G38" i="34"/>
  <c r="AE37" i="34"/>
  <c r="X37" i="34"/>
  <c r="W37" i="34"/>
  <c r="V37" i="34"/>
  <c r="O37" i="34"/>
  <c r="M37" i="34"/>
  <c r="N37" i="34" s="1"/>
  <c r="K37" i="34"/>
  <c r="G37" i="34"/>
  <c r="AD36" i="34"/>
  <c r="K21" i="35" s="1"/>
  <c r="Z36" i="34"/>
  <c r="K19" i="35" s="1"/>
  <c r="Y36" i="34"/>
  <c r="K18" i="35" s="1"/>
  <c r="O36" i="34"/>
  <c r="K36" i="34"/>
  <c r="K13" i="35" s="1"/>
  <c r="V35" i="34"/>
  <c r="M35" i="34" s="1"/>
  <c r="U35" i="34"/>
  <c r="O35" i="34"/>
  <c r="K35" i="34"/>
  <c r="G35" i="34"/>
  <c r="V34" i="34"/>
  <c r="M34" i="34" s="1"/>
  <c r="U34" i="34"/>
  <c r="O34" i="34"/>
  <c r="K34" i="34"/>
  <c r="G34" i="34"/>
  <c r="V33" i="34"/>
  <c r="M33" i="34" s="1"/>
  <c r="U33" i="34"/>
  <c r="O33" i="34"/>
  <c r="K33" i="34"/>
  <c r="G33" i="34"/>
  <c r="X32" i="34"/>
  <c r="W32" i="34"/>
  <c r="V32" i="34"/>
  <c r="M32" i="34" s="1"/>
  <c r="U32" i="34"/>
  <c r="O32" i="34"/>
  <c r="K32" i="34"/>
  <c r="G32" i="34"/>
  <c r="V31" i="34"/>
  <c r="M31" i="34" s="1"/>
  <c r="U31" i="34"/>
  <c r="O31" i="34"/>
  <c r="K31" i="34"/>
  <c r="G31" i="34"/>
  <c r="V30" i="34"/>
  <c r="M30" i="34" s="1"/>
  <c r="U30" i="34"/>
  <c r="O30" i="34"/>
  <c r="K30" i="34"/>
  <c r="G30" i="34"/>
  <c r="V29" i="34"/>
  <c r="M29" i="34" s="1"/>
  <c r="U29" i="34"/>
  <c r="O29" i="34"/>
  <c r="K29" i="34"/>
  <c r="G29" i="34"/>
  <c r="X28" i="34"/>
  <c r="W28" i="34"/>
  <c r="V28" i="34"/>
  <c r="M28" i="34" s="1"/>
  <c r="O28" i="34"/>
  <c r="K28" i="34"/>
  <c r="G28" i="34"/>
  <c r="AD27" i="34"/>
  <c r="G21" i="35" s="1"/>
  <c r="Z27" i="34"/>
  <c r="G19" i="35" s="1"/>
  <c r="Y27" i="34"/>
  <c r="O27" i="34"/>
  <c r="K27" i="34"/>
  <c r="G13" i="35" s="1"/>
  <c r="V26" i="34"/>
  <c r="M26" i="34" s="1"/>
  <c r="U26" i="34"/>
  <c r="O26" i="34"/>
  <c r="K26" i="34"/>
  <c r="G26" i="34"/>
  <c r="X25" i="34"/>
  <c r="W25" i="34"/>
  <c r="V25" i="34"/>
  <c r="M25" i="34" s="1"/>
  <c r="U25" i="34"/>
  <c r="O25" i="34"/>
  <c r="K25" i="34"/>
  <c r="G25" i="34"/>
  <c r="V24" i="34"/>
  <c r="M24" i="34" s="1"/>
  <c r="U24" i="34"/>
  <c r="O24" i="34"/>
  <c r="K24" i="34"/>
  <c r="G24" i="34"/>
  <c r="V23" i="34"/>
  <c r="M23" i="34" s="1"/>
  <c r="U23" i="34"/>
  <c r="O23" i="34"/>
  <c r="K23" i="34"/>
  <c r="G23" i="34"/>
  <c r="V22" i="34"/>
  <c r="M22" i="34" s="1"/>
  <c r="U22" i="34"/>
  <c r="O22" i="34"/>
  <c r="K22" i="34"/>
  <c r="G22" i="34"/>
  <c r="V21" i="34"/>
  <c r="M21" i="34" s="1"/>
  <c r="O21" i="34"/>
  <c r="K21" i="34"/>
  <c r="G21" i="34"/>
  <c r="AD20" i="34"/>
  <c r="AD2" i="34" s="1"/>
  <c r="N6" i="35" s="1"/>
  <c r="Z20" i="34"/>
  <c r="F19" i="35" s="1"/>
  <c r="Y20" i="34"/>
  <c r="F18" i="35" s="1"/>
  <c r="O20" i="34"/>
  <c r="K20" i="34"/>
  <c r="F13" i="35" s="1"/>
  <c r="V19" i="34"/>
  <c r="M19" i="34" s="1"/>
  <c r="AF19" i="34" s="1"/>
  <c r="U19" i="34"/>
  <c r="O19" i="34"/>
  <c r="K19" i="34"/>
  <c r="G19" i="34"/>
  <c r="X18" i="34"/>
  <c r="W18" i="34"/>
  <c r="V18" i="34"/>
  <c r="U18" i="34"/>
  <c r="O18" i="34"/>
  <c r="M18" i="34"/>
  <c r="AE18" i="34" s="1"/>
  <c r="K18" i="34"/>
  <c r="G18" i="34"/>
  <c r="V17" i="34"/>
  <c r="U17" i="34"/>
  <c r="O17" i="34"/>
  <c r="M17" i="34"/>
  <c r="AF17" i="34" s="1"/>
  <c r="K17" i="34"/>
  <c r="G17" i="34"/>
  <c r="V16" i="34"/>
  <c r="M16" i="34" s="1"/>
  <c r="AE16" i="34" s="1"/>
  <c r="U16" i="34"/>
  <c r="O16" i="34"/>
  <c r="K16" i="34"/>
  <c r="G16" i="34"/>
  <c r="V15" i="34"/>
  <c r="O15" i="34"/>
  <c r="M15" i="34"/>
  <c r="AE15" i="34" s="1"/>
  <c r="K15" i="34"/>
  <c r="G15" i="34"/>
  <c r="AD14" i="34"/>
  <c r="E21" i="35" s="1"/>
  <c r="Z14" i="34"/>
  <c r="E19" i="35" s="1"/>
  <c r="Y14" i="34"/>
  <c r="E18" i="35" s="1"/>
  <c r="O14" i="34"/>
  <c r="K14" i="34"/>
  <c r="E13" i="35" s="1"/>
  <c r="AF13" i="34"/>
  <c r="V13" i="34"/>
  <c r="U13" i="34"/>
  <c r="O13" i="34"/>
  <c r="N13" i="34"/>
  <c r="Q13" i="34" s="1"/>
  <c r="M13" i="34"/>
  <c r="AE13" i="34" s="1"/>
  <c r="K13" i="34"/>
  <c r="G13" i="34"/>
  <c r="X12" i="34"/>
  <c r="W12" i="34"/>
  <c r="V12" i="34"/>
  <c r="U12" i="34"/>
  <c r="O12" i="34"/>
  <c r="M12" i="34"/>
  <c r="N12" i="34" s="1"/>
  <c r="K12" i="34"/>
  <c r="G12" i="34"/>
  <c r="V11" i="34"/>
  <c r="O11" i="34"/>
  <c r="M11" i="34"/>
  <c r="N11" i="34" s="1"/>
  <c r="K11" i="34"/>
  <c r="G11" i="34"/>
  <c r="AD10" i="34"/>
  <c r="D21" i="35" s="1"/>
  <c r="Z10" i="34"/>
  <c r="D19" i="35" s="1"/>
  <c r="Y10" i="34"/>
  <c r="D18" i="35" s="1"/>
  <c r="O10" i="34"/>
  <c r="K10" i="34"/>
  <c r="D13" i="35" s="1"/>
  <c r="V9" i="34"/>
  <c r="U9" i="34"/>
  <c r="O9" i="34"/>
  <c r="M9" i="34"/>
  <c r="N9" i="34" s="1"/>
  <c r="K9" i="34"/>
  <c r="G9" i="34"/>
  <c r="V8" i="34"/>
  <c r="M8" i="34" s="1"/>
  <c r="U8" i="34"/>
  <c r="O8" i="34"/>
  <c r="K8" i="34"/>
  <c r="G8" i="34"/>
  <c r="V7" i="34"/>
  <c r="M7" i="34" s="1"/>
  <c r="U7" i="34"/>
  <c r="O7" i="34"/>
  <c r="K7" i="34"/>
  <c r="G7" i="34"/>
  <c r="V6" i="34"/>
  <c r="M6" i="34" s="1"/>
  <c r="U6" i="34"/>
  <c r="O6" i="34"/>
  <c r="K6" i="34"/>
  <c r="G6" i="34"/>
  <c r="V5" i="34"/>
  <c r="M5" i="34" s="1"/>
  <c r="O5" i="34"/>
  <c r="K5" i="34"/>
  <c r="G5" i="34"/>
  <c r="H2" i="34"/>
  <c r="H1" i="34"/>
  <c r="D1" i="34"/>
  <c r="F3" i="35" s="1"/>
  <c r="N71" i="34" l="1"/>
  <c r="AF71" i="34"/>
  <c r="AE71" i="34"/>
  <c r="AE56" i="34"/>
  <c r="AF56" i="34"/>
  <c r="N56" i="34"/>
  <c r="Q56" i="34" s="1"/>
  <c r="N35" i="34"/>
  <c r="AF35" i="34"/>
  <c r="AE35" i="34"/>
  <c r="Y2" i="34"/>
  <c r="K6" i="35" s="1"/>
  <c r="AF74" i="34"/>
  <c r="F21" i="35"/>
  <c r="F14" i="38"/>
  <c r="F15" i="38" s="1"/>
  <c r="Q19" i="39"/>
  <c r="R15" i="39" s="1"/>
  <c r="P19" i="39"/>
  <c r="P29" i="37"/>
  <c r="Q29" i="37"/>
  <c r="P67" i="37"/>
  <c r="Q67" i="37"/>
  <c r="AF55" i="34"/>
  <c r="N39" i="34"/>
  <c r="Q39" i="34" s="1"/>
  <c r="AE73" i="34"/>
  <c r="AE55" i="34"/>
  <c r="AF75" i="34"/>
  <c r="AE9" i="34"/>
  <c r="AE12" i="34"/>
  <c r="AF73" i="34"/>
  <c r="P24" i="37"/>
  <c r="Q24" i="37"/>
  <c r="N75" i="34"/>
  <c r="Q75" i="34" s="1"/>
  <c r="G18" i="35"/>
  <c r="F1" i="34"/>
  <c r="I3" i="35" s="1"/>
  <c r="AF39" i="34"/>
  <c r="P51" i="37"/>
  <c r="Q51" i="37"/>
  <c r="M14" i="34"/>
  <c r="N14" i="34" s="1"/>
  <c r="E14" i="35" s="1"/>
  <c r="E15" i="35" s="1"/>
  <c r="AF41" i="34"/>
  <c r="AF9" i="34"/>
  <c r="AF12" i="34"/>
  <c r="Q62" i="39"/>
  <c r="R53" i="39" s="1"/>
  <c r="P62" i="39"/>
  <c r="I14" i="38"/>
  <c r="I15" i="38" s="1"/>
  <c r="P41" i="39"/>
  <c r="Q41" i="39"/>
  <c r="R34" i="39" s="1"/>
  <c r="L14" i="38"/>
  <c r="L15" i="38" s="1"/>
  <c r="M80" i="34"/>
  <c r="AF80" i="34" s="1"/>
  <c r="AG73" i="34" s="1"/>
  <c r="P33" i="39"/>
  <c r="K14" i="38"/>
  <c r="K15" i="38" s="1"/>
  <c r="Q33" i="39"/>
  <c r="R26" i="39" s="1"/>
  <c r="P14" i="39"/>
  <c r="Q14" i="39"/>
  <c r="R11" i="39" s="1"/>
  <c r="E14" i="38"/>
  <c r="E15" i="38" s="1"/>
  <c r="AE38" i="34"/>
  <c r="AF38" i="34"/>
  <c r="AF37" i="34"/>
  <c r="AE74" i="34"/>
  <c r="P7" i="37"/>
  <c r="Q7" i="37"/>
  <c r="F8" i="42"/>
  <c r="G8" i="42"/>
  <c r="E8" i="42"/>
  <c r="E7" i="40"/>
  <c r="F7" i="40"/>
  <c r="G7" i="40"/>
  <c r="K15" i="40"/>
  <c r="I8" i="40" s="1"/>
  <c r="I7" i="40"/>
  <c r="G8" i="40"/>
  <c r="F8" i="40"/>
  <c r="E8" i="40"/>
  <c r="Q52" i="39"/>
  <c r="R42" i="39" s="1"/>
  <c r="P52" i="39"/>
  <c r="H14" i="38"/>
  <c r="H15" i="38" s="1"/>
  <c r="D15" i="38"/>
  <c r="M14" i="38"/>
  <c r="Q73" i="39"/>
  <c r="R67" i="39" s="1"/>
  <c r="P73" i="39"/>
  <c r="Q25" i="39"/>
  <c r="R20" i="39" s="1"/>
  <c r="P25" i="39"/>
  <c r="G14" i="38"/>
  <c r="G15" i="38" s="1"/>
  <c r="Q47" i="37"/>
  <c r="P47" i="37"/>
  <c r="P43" i="37"/>
  <c r="Q43" i="37"/>
  <c r="Q55" i="37"/>
  <c r="P55" i="37"/>
  <c r="N64" i="37"/>
  <c r="AF64" i="37"/>
  <c r="AG55" i="37" s="1"/>
  <c r="AE64" i="37"/>
  <c r="AF77" i="37"/>
  <c r="AG70" i="37" s="1"/>
  <c r="AE77" i="37"/>
  <c r="N77" i="37"/>
  <c r="N69" i="37"/>
  <c r="AE69" i="37"/>
  <c r="AF69" i="37"/>
  <c r="AG65" i="37" s="1"/>
  <c r="AF44" i="37"/>
  <c r="AG36" i="37" s="1"/>
  <c r="AE44" i="37"/>
  <c r="N44" i="37"/>
  <c r="Q15" i="37"/>
  <c r="P15" i="37"/>
  <c r="AE10" i="37"/>
  <c r="N10" i="37"/>
  <c r="AF10" i="37"/>
  <c r="AG5" i="37" s="1"/>
  <c r="P46" i="37"/>
  <c r="Q46" i="37"/>
  <c r="AF54" i="37"/>
  <c r="AG45" i="37" s="1"/>
  <c r="AE54" i="37"/>
  <c r="N54" i="37"/>
  <c r="I3" i="36"/>
  <c r="F2" i="37"/>
  <c r="Q22" i="37"/>
  <c r="P22" i="37"/>
  <c r="N26" i="37"/>
  <c r="AF26" i="37"/>
  <c r="AG20" i="37" s="1"/>
  <c r="AE26" i="37"/>
  <c r="Q74" i="37"/>
  <c r="P74" i="37"/>
  <c r="P62" i="37"/>
  <c r="Q62" i="37"/>
  <c r="Q36" i="37"/>
  <c r="P36" i="37"/>
  <c r="AE35" i="37"/>
  <c r="AF35" i="37"/>
  <c r="AG27" i="37" s="1"/>
  <c r="N35" i="37"/>
  <c r="AF19" i="37"/>
  <c r="AG15" i="37" s="1"/>
  <c r="AE19" i="37"/>
  <c r="N19" i="37"/>
  <c r="Q63" i="37"/>
  <c r="P63" i="37"/>
  <c r="Q38" i="37"/>
  <c r="P38" i="37"/>
  <c r="Q11" i="37"/>
  <c r="P11" i="37"/>
  <c r="AE14" i="37"/>
  <c r="AF14" i="37"/>
  <c r="AG11" i="37" s="1"/>
  <c r="N14" i="37"/>
  <c r="Q58" i="37"/>
  <c r="P58" i="37"/>
  <c r="Q76" i="37"/>
  <c r="P76" i="37"/>
  <c r="Q56" i="37"/>
  <c r="P56" i="37"/>
  <c r="I6" i="35"/>
  <c r="E6" i="35"/>
  <c r="F6" i="35"/>
  <c r="G6" i="35"/>
  <c r="N70" i="34"/>
  <c r="AE70" i="34"/>
  <c r="AF70" i="34"/>
  <c r="Q74" i="34"/>
  <c r="P74" i="34"/>
  <c r="AF63" i="34"/>
  <c r="AE63" i="34"/>
  <c r="N63" i="34"/>
  <c r="N53" i="34"/>
  <c r="AF53" i="34"/>
  <c r="AE53" i="34"/>
  <c r="Q41" i="34"/>
  <c r="P41" i="34"/>
  <c r="N68" i="34"/>
  <c r="M72" i="34"/>
  <c r="AF68" i="34"/>
  <c r="AE68" i="34"/>
  <c r="AF29" i="34"/>
  <c r="AE29" i="34"/>
  <c r="N29" i="34"/>
  <c r="N51" i="34"/>
  <c r="AF51" i="34"/>
  <c r="AE51" i="34"/>
  <c r="N7" i="34"/>
  <c r="AF7" i="34"/>
  <c r="AE7" i="34"/>
  <c r="AF23" i="34"/>
  <c r="AE23" i="34"/>
  <c r="N23" i="34"/>
  <c r="N32" i="34"/>
  <c r="AF32" i="34"/>
  <c r="AE32" i="34"/>
  <c r="N34" i="34"/>
  <c r="AE34" i="34"/>
  <c r="AF34" i="34"/>
  <c r="AF49" i="34"/>
  <c r="AE49" i="34"/>
  <c r="N49" i="34"/>
  <c r="Q71" i="34"/>
  <c r="P71" i="34"/>
  <c r="Q73" i="34"/>
  <c r="P73" i="34"/>
  <c r="Q76" i="34"/>
  <c r="P76" i="34"/>
  <c r="N25" i="34"/>
  <c r="AF25" i="34"/>
  <c r="AE25" i="34"/>
  <c r="N5" i="34"/>
  <c r="AF5" i="34"/>
  <c r="M10" i="34"/>
  <c r="AE5" i="34"/>
  <c r="Q12" i="34"/>
  <c r="P12" i="34"/>
  <c r="Q38" i="34"/>
  <c r="P38" i="34"/>
  <c r="N21" i="34"/>
  <c r="M27" i="34"/>
  <c r="AF21" i="34"/>
  <c r="AE21" i="34"/>
  <c r="N28" i="34"/>
  <c r="AF28" i="34"/>
  <c r="AE28" i="34"/>
  <c r="M36" i="34"/>
  <c r="N30" i="34"/>
  <c r="AF30" i="34"/>
  <c r="AE30" i="34"/>
  <c r="AF47" i="34"/>
  <c r="AE47" i="34"/>
  <c r="M57" i="34"/>
  <c r="N47" i="34"/>
  <c r="AF64" i="34"/>
  <c r="AE64" i="34"/>
  <c r="N64" i="34"/>
  <c r="AF66" i="34"/>
  <c r="AE66" i="34"/>
  <c r="N66" i="34"/>
  <c r="Q35" i="34"/>
  <c r="P35" i="34"/>
  <c r="N52" i="34"/>
  <c r="AF52" i="34"/>
  <c r="AE52" i="34"/>
  <c r="N54" i="34"/>
  <c r="AE54" i="34"/>
  <c r="AF54" i="34"/>
  <c r="N8" i="34"/>
  <c r="AE8" i="34"/>
  <c r="AF8" i="34"/>
  <c r="Q37" i="34"/>
  <c r="P37" i="34"/>
  <c r="N62" i="34"/>
  <c r="AF62" i="34"/>
  <c r="AE62" i="34"/>
  <c r="N69" i="34"/>
  <c r="AF69" i="34"/>
  <c r="AE69" i="34"/>
  <c r="N6" i="34"/>
  <c r="AF6" i="34"/>
  <c r="AE6" i="34"/>
  <c r="Q55" i="34"/>
  <c r="P55" i="34"/>
  <c r="Q9" i="34"/>
  <c r="P9" i="34"/>
  <c r="N22" i="34"/>
  <c r="AF22" i="34"/>
  <c r="AE22" i="34"/>
  <c r="N31" i="34"/>
  <c r="AF31" i="34"/>
  <c r="AE31" i="34"/>
  <c r="N33" i="34"/>
  <c r="AF33" i="34"/>
  <c r="AE33" i="34"/>
  <c r="AF48" i="34"/>
  <c r="AE48" i="34"/>
  <c r="N48" i="34"/>
  <c r="N65" i="34"/>
  <c r="AF65" i="34"/>
  <c r="AE65" i="34"/>
  <c r="Q11" i="34"/>
  <c r="P11" i="34"/>
  <c r="AF24" i="34"/>
  <c r="AE24" i="34"/>
  <c r="N24" i="34"/>
  <c r="AF26" i="34"/>
  <c r="AE26" i="34"/>
  <c r="N26" i="34"/>
  <c r="Q40" i="34"/>
  <c r="P40" i="34"/>
  <c r="N50" i="34"/>
  <c r="AF50" i="34"/>
  <c r="AE50" i="34"/>
  <c r="Q78" i="34"/>
  <c r="P78" i="34"/>
  <c r="Q14" i="34"/>
  <c r="R11" i="34" s="1"/>
  <c r="P14" i="34"/>
  <c r="Q42" i="34"/>
  <c r="P42" i="34"/>
  <c r="Q77" i="34"/>
  <c r="P77" i="34"/>
  <c r="AE11" i="34"/>
  <c r="AE14" i="34"/>
  <c r="AF15" i="34"/>
  <c r="AF16" i="34"/>
  <c r="AF18" i="34"/>
  <c r="AE40" i="34"/>
  <c r="AE42" i="34"/>
  <c r="AF43" i="34"/>
  <c r="M46" i="34"/>
  <c r="AF58" i="34"/>
  <c r="AF59" i="34"/>
  <c r="AE76" i="34"/>
  <c r="AE78" i="34"/>
  <c r="AF79" i="34"/>
  <c r="AF11" i="34"/>
  <c r="AF14" i="34"/>
  <c r="AG11" i="34" s="1"/>
  <c r="M20" i="34"/>
  <c r="AF40" i="34"/>
  <c r="AE41" i="34"/>
  <c r="AF42" i="34"/>
  <c r="AF76" i="34"/>
  <c r="AE77" i="34"/>
  <c r="AF78" i="34"/>
  <c r="N17" i="34"/>
  <c r="N19" i="34"/>
  <c r="N44" i="34"/>
  <c r="N60" i="34"/>
  <c r="N15" i="34"/>
  <c r="N16" i="34"/>
  <c r="N43" i="34"/>
  <c r="N58" i="34"/>
  <c r="N59" i="34"/>
  <c r="N79" i="34"/>
  <c r="Z2" i="34"/>
  <c r="L6" i="35" s="1"/>
  <c r="N18" i="34"/>
  <c r="N45" i="34"/>
  <c r="N61" i="34"/>
  <c r="N80" i="34"/>
  <c r="M14" i="35" s="1"/>
  <c r="M15" i="35" s="1"/>
  <c r="P13" i="34"/>
  <c r="P39" i="34"/>
  <c r="AE45" i="34"/>
  <c r="P56" i="34"/>
  <c r="AE61" i="34"/>
  <c r="M67" i="34"/>
  <c r="P75" i="34"/>
  <c r="AE17" i="34"/>
  <c r="AE19" i="34"/>
  <c r="AE44" i="34"/>
  <c r="AE60" i="34"/>
  <c r="AE80" i="34"/>
  <c r="F2" i="34" l="1"/>
  <c r="M15" i="38"/>
  <c r="I8" i="38" s="1"/>
  <c r="I7" i="38"/>
  <c r="F7" i="38"/>
  <c r="G7" i="38"/>
  <c r="E7" i="38"/>
  <c r="F8" i="38"/>
  <c r="E8" i="38"/>
  <c r="G8" i="38"/>
  <c r="Q77" i="37"/>
  <c r="R70" i="37" s="1"/>
  <c r="P77" i="37"/>
  <c r="M14" i="36"/>
  <c r="M15" i="36" s="1"/>
  <c r="F14" i="36"/>
  <c r="F15" i="36" s="1"/>
  <c r="Q19" i="37"/>
  <c r="R15" i="37" s="1"/>
  <c r="P19" i="37"/>
  <c r="Q10" i="37"/>
  <c r="R5" i="37" s="1"/>
  <c r="P10" i="37"/>
  <c r="D14" i="36"/>
  <c r="D2" i="37"/>
  <c r="J14" i="36"/>
  <c r="J15" i="36" s="1"/>
  <c r="P69" i="37"/>
  <c r="Q69" i="37"/>
  <c r="R65" i="37" s="1"/>
  <c r="Q26" i="37"/>
  <c r="R20" i="37" s="1"/>
  <c r="P26" i="37"/>
  <c r="G14" i="36"/>
  <c r="G15" i="36" s="1"/>
  <c r="Q14" i="37"/>
  <c r="R11" i="37" s="1"/>
  <c r="P14" i="37"/>
  <c r="E14" i="36"/>
  <c r="E15" i="36" s="1"/>
  <c r="K14" i="36"/>
  <c r="Q35" i="37"/>
  <c r="R27" i="37" s="1"/>
  <c r="P35" i="37"/>
  <c r="I14" i="36"/>
  <c r="I15" i="36" s="1"/>
  <c r="P64" i="37"/>
  <c r="Q64" i="37"/>
  <c r="R55" i="37" s="1"/>
  <c r="L14" i="36"/>
  <c r="L15" i="36" s="1"/>
  <c r="Q44" i="37"/>
  <c r="R36" i="37" s="1"/>
  <c r="P44" i="37"/>
  <c r="Q54" i="37"/>
  <c r="R45" i="37" s="1"/>
  <c r="H14" i="36"/>
  <c r="H15" i="36" s="1"/>
  <c r="P54" i="37"/>
  <c r="Q31" i="34"/>
  <c r="P31" i="34"/>
  <c r="P54" i="34"/>
  <c r="Q54" i="34"/>
  <c r="P47" i="34"/>
  <c r="Q47" i="34"/>
  <c r="Q69" i="34"/>
  <c r="P69" i="34"/>
  <c r="N67" i="34"/>
  <c r="I14" i="35" s="1"/>
  <c r="I15" i="35" s="1"/>
  <c r="AF67" i="34"/>
  <c r="AG58" i="34" s="1"/>
  <c r="AE67" i="34"/>
  <c r="Q59" i="34"/>
  <c r="P59" i="34"/>
  <c r="Q65" i="34"/>
  <c r="P65" i="34"/>
  <c r="Q22" i="34"/>
  <c r="P22" i="34"/>
  <c r="P52" i="34"/>
  <c r="Q52" i="34"/>
  <c r="Q17" i="34"/>
  <c r="P17" i="34"/>
  <c r="N27" i="34"/>
  <c r="G14" i="35" s="1"/>
  <c r="G15" i="35" s="1"/>
  <c r="AF27" i="34"/>
  <c r="AG21" i="34" s="1"/>
  <c r="AE27" i="34"/>
  <c r="P48" i="34"/>
  <c r="Q48" i="34"/>
  <c r="Q62" i="34"/>
  <c r="P62" i="34"/>
  <c r="P32" i="34"/>
  <c r="Q32" i="34"/>
  <c r="P63" i="34"/>
  <c r="Q63" i="34"/>
  <c r="Q25" i="34"/>
  <c r="P25" i="34"/>
  <c r="N57" i="34"/>
  <c r="H14" i="35" s="1"/>
  <c r="H15" i="35" s="1"/>
  <c r="AF57" i="34"/>
  <c r="AG47" i="34" s="1"/>
  <c r="AE57" i="34"/>
  <c r="Q79" i="34"/>
  <c r="P79" i="34"/>
  <c r="P29" i="34"/>
  <c r="Q29" i="34"/>
  <c r="Q43" i="34"/>
  <c r="P43" i="34"/>
  <c r="P24" i="34"/>
  <c r="Q24" i="34"/>
  <c r="Q16" i="34"/>
  <c r="P16" i="34"/>
  <c r="P66" i="34"/>
  <c r="Q66" i="34"/>
  <c r="Q30" i="34"/>
  <c r="P30" i="34"/>
  <c r="Q45" i="34"/>
  <c r="P45" i="34"/>
  <c r="Q18" i="34"/>
  <c r="P18" i="34"/>
  <c r="Q51" i="34"/>
  <c r="P51" i="34"/>
  <c r="P26" i="34"/>
  <c r="Q26" i="34"/>
  <c r="AF20" i="34"/>
  <c r="AG15" i="34" s="1"/>
  <c r="N20" i="34"/>
  <c r="F14" i="35" s="1"/>
  <c r="F15" i="35" s="1"/>
  <c r="AE20" i="34"/>
  <c r="Q15" i="34"/>
  <c r="P15" i="34"/>
  <c r="AF36" i="34"/>
  <c r="AG28" i="34" s="1"/>
  <c r="N36" i="34"/>
  <c r="K14" i="35" s="1"/>
  <c r="AE36" i="34"/>
  <c r="AF72" i="34"/>
  <c r="AG68" i="34" s="1"/>
  <c r="N72" i="34"/>
  <c r="J14" i="35" s="1"/>
  <c r="J15" i="35" s="1"/>
  <c r="AE72" i="34"/>
  <c r="Q53" i="34"/>
  <c r="P53" i="34"/>
  <c r="Q58" i="34"/>
  <c r="P58" i="34"/>
  <c r="Q60" i="34"/>
  <c r="P60" i="34"/>
  <c r="AF10" i="34"/>
  <c r="AG5" i="34" s="1"/>
  <c r="N10" i="34"/>
  <c r="D14" i="35" s="1"/>
  <c r="AE10" i="34"/>
  <c r="P49" i="34"/>
  <c r="Q49" i="34"/>
  <c r="Q68" i="34"/>
  <c r="P68" i="34"/>
  <c r="Q80" i="34"/>
  <c r="R73" i="34" s="1"/>
  <c r="P80" i="34"/>
  <c r="Q44" i="34"/>
  <c r="P44" i="34"/>
  <c r="Q33" i="34"/>
  <c r="P33" i="34"/>
  <c r="P8" i="34"/>
  <c r="Q8" i="34"/>
  <c r="P64" i="34"/>
  <c r="Q64" i="34"/>
  <c r="P34" i="34"/>
  <c r="Q34" i="34"/>
  <c r="AF46" i="34"/>
  <c r="AG37" i="34" s="1"/>
  <c r="AE46" i="34"/>
  <c r="N46" i="34"/>
  <c r="L14" i="35" s="1"/>
  <c r="L15" i="35" s="1"/>
  <c r="Q21" i="34"/>
  <c r="P21" i="34"/>
  <c r="P23" i="34"/>
  <c r="Q23" i="34"/>
  <c r="Q61" i="34"/>
  <c r="P61" i="34"/>
  <c r="Q19" i="34"/>
  <c r="P19" i="34"/>
  <c r="Q6" i="34"/>
  <c r="P6" i="34"/>
  <c r="Q28" i="34"/>
  <c r="P28" i="34"/>
  <c r="Q5" i="34"/>
  <c r="P5" i="34"/>
  <c r="Q7" i="34"/>
  <c r="P7" i="34"/>
  <c r="Q50" i="34"/>
  <c r="P50" i="34"/>
  <c r="P70" i="34"/>
  <c r="Q70" i="34"/>
  <c r="E7" i="35" l="1"/>
  <c r="F7" i="35"/>
  <c r="G7" i="35"/>
  <c r="D15" i="35"/>
  <c r="K15" i="35"/>
  <c r="I8" i="35" s="1"/>
  <c r="I7" i="35"/>
  <c r="K15" i="36"/>
  <c r="I8" i="36" s="1"/>
  <c r="I7" i="36"/>
  <c r="F7" i="36"/>
  <c r="E7" i="36"/>
  <c r="G7" i="36"/>
  <c r="D15" i="36"/>
  <c r="Q57" i="34"/>
  <c r="R47" i="34" s="1"/>
  <c r="P57" i="34"/>
  <c r="D2" i="34"/>
  <c r="Q10" i="34"/>
  <c r="R5" i="34" s="1"/>
  <c r="P10" i="34"/>
  <c r="Q72" i="34"/>
  <c r="R68" i="34" s="1"/>
  <c r="P72" i="34"/>
  <c r="Q27" i="34"/>
  <c r="R21" i="34" s="1"/>
  <c r="P27" i="34"/>
  <c r="Q67" i="34"/>
  <c r="R58" i="34" s="1"/>
  <c r="P67" i="34"/>
  <c r="Q36" i="34"/>
  <c r="R28" i="34" s="1"/>
  <c r="P36" i="34"/>
  <c r="P46" i="34"/>
  <c r="Q46" i="34"/>
  <c r="R37" i="34" s="1"/>
  <c r="Q20" i="34"/>
  <c r="R15" i="34" s="1"/>
  <c r="P20" i="34"/>
  <c r="E8" i="35" l="1"/>
  <c r="G8" i="35"/>
  <c r="F8" i="35"/>
  <c r="G8" i="36"/>
  <c r="F8" i="36"/>
  <c r="E8" i="36"/>
  <c r="AD66" i="32"/>
  <c r="Z66" i="32"/>
  <c r="Y66" i="32"/>
  <c r="O66" i="32"/>
  <c r="K66" i="32"/>
  <c r="V65" i="32"/>
  <c r="M65" i="32" s="1"/>
  <c r="U65" i="32"/>
  <c r="O65" i="32"/>
  <c r="K65" i="32"/>
  <c r="G65" i="32"/>
  <c r="V64" i="32"/>
  <c r="U64" i="32"/>
  <c r="O64" i="32"/>
  <c r="M64" i="32"/>
  <c r="N64" i="32" s="1"/>
  <c r="K64" i="32"/>
  <c r="G64" i="32"/>
  <c r="V63" i="32"/>
  <c r="M63" i="32" s="1"/>
  <c r="U63" i="32"/>
  <c r="O63" i="32"/>
  <c r="K63" i="32"/>
  <c r="G63" i="32"/>
  <c r="V62" i="32"/>
  <c r="M62" i="32" s="1"/>
  <c r="U62" i="32"/>
  <c r="O62" i="32"/>
  <c r="K62" i="32"/>
  <c r="G62" i="32"/>
  <c r="X61" i="32"/>
  <c r="W61" i="32"/>
  <c r="V61" i="32"/>
  <c r="O61" i="32"/>
  <c r="M61" i="32"/>
  <c r="N61" i="32" s="1"/>
  <c r="K61" i="32"/>
  <c r="G61" i="32"/>
  <c r="AD60" i="32"/>
  <c r="Z60" i="32"/>
  <c r="Y60" i="32"/>
  <c r="O60" i="32"/>
  <c r="K60" i="32"/>
  <c r="V59" i="32"/>
  <c r="M59" i="32" s="1"/>
  <c r="U59" i="32"/>
  <c r="O59" i="32"/>
  <c r="K59" i="32"/>
  <c r="G59" i="32"/>
  <c r="V58" i="32"/>
  <c r="M58" i="32" s="1"/>
  <c r="U58" i="32"/>
  <c r="O58" i="32"/>
  <c r="K58" i="32"/>
  <c r="G58" i="32"/>
  <c r="V57" i="32"/>
  <c r="M57" i="32" s="1"/>
  <c r="U57" i="32"/>
  <c r="O57" i="32"/>
  <c r="K57" i="32"/>
  <c r="G57" i="32"/>
  <c r="V56" i="32"/>
  <c r="M56" i="32" s="1"/>
  <c r="O56" i="32"/>
  <c r="K56" i="32"/>
  <c r="G56" i="32"/>
  <c r="AD55" i="32"/>
  <c r="Z55" i="32"/>
  <c r="Y55" i="32"/>
  <c r="O55" i="32"/>
  <c r="K55" i="32"/>
  <c r="V54" i="32"/>
  <c r="M54" i="32" s="1"/>
  <c r="U54" i="32"/>
  <c r="O54" i="32"/>
  <c r="K54" i="32"/>
  <c r="G54" i="32"/>
  <c r="V53" i="32"/>
  <c r="U53" i="32"/>
  <c r="O53" i="32"/>
  <c r="M53" i="32"/>
  <c r="AF53" i="32" s="1"/>
  <c r="K53" i="32"/>
  <c r="G53" i="32"/>
  <c r="V52" i="32"/>
  <c r="U52" i="32"/>
  <c r="O52" i="32"/>
  <c r="M52" i="32"/>
  <c r="AF52" i="32" s="1"/>
  <c r="K52" i="32"/>
  <c r="G52" i="32"/>
  <c r="V51" i="32"/>
  <c r="U51" i="32"/>
  <c r="O51" i="32"/>
  <c r="N51" i="32"/>
  <c r="Q51" i="32" s="1"/>
  <c r="M51" i="32"/>
  <c r="AF51" i="32" s="1"/>
  <c r="K51" i="32"/>
  <c r="G51" i="32"/>
  <c r="V50" i="32"/>
  <c r="U50" i="32"/>
  <c r="O50" i="32"/>
  <c r="M50" i="32"/>
  <c r="AF50" i="32" s="1"/>
  <c r="K50" i="32"/>
  <c r="G50" i="32"/>
  <c r="V49" i="32"/>
  <c r="M49" i="32" s="1"/>
  <c r="U49" i="32"/>
  <c r="O49" i="32"/>
  <c r="K49" i="32"/>
  <c r="G49" i="32"/>
  <c r="V48" i="32"/>
  <c r="M48" i="32" s="1"/>
  <c r="U48" i="32"/>
  <c r="O48" i="32"/>
  <c r="K48" i="32"/>
  <c r="G48" i="32"/>
  <c r="V47" i="32"/>
  <c r="M47" i="32" s="1"/>
  <c r="O47" i="32"/>
  <c r="K47" i="32"/>
  <c r="G47" i="32"/>
  <c r="AD46" i="32"/>
  <c r="H21" i="31" s="1"/>
  <c r="Z46" i="32"/>
  <c r="Y46" i="32"/>
  <c r="O46" i="32"/>
  <c r="K46" i="32"/>
  <c r="V45" i="32"/>
  <c r="M45" i="32" s="1"/>
  <c r="U45" i="32"/>
  <c r="O45" i="32"/>
  <c r="K45" i="32"/>
  <c r="G45" i="32"/>
  <c r="V44" i="32"/>
  <c r="M44" i="32" s="1"/>
  <c r="U44" i="32"/>
  <c r="O44" i="32"/>
  <c r="K44" i="32"/>
  <c r="G44" i="32"/>
  <c r="X43" i="32"/>
  <c r="W43" i="32"/>
  <c r="V43" i="32"/>
  <c r="M43" i="32" s="1"/>
  <c r="U43" i="32"/>
  <c r="O43" i="32"/>
  <c r="K43" i="32"/>
  <c r="G43" i="32"/>
  <c r="V42" i="32"/>
  <c r="M42" i="32" s="1"/>
  <c r="U42" i="32"/>
  <c r="O42" i="32"/>
  <c r="K42" i="32"/>
  <c r="G42" i="32"/>
  <c r="V41" i="32"/>
  <c r="M41" i="32" s="1"/>
  <c r="U41" i="32"/>
  <c r="O41" i="32"/>
  <c r="K41" i="32"/>
  <c r="G41" i="32"/>
  <c r="V40" i="32"/>
  <c r="M40" i="32" s="1"/>
  <c r="U40" i="32"/>
  <c r="O40" i="32"/>
  <c r="K40" i="32"/>
  <c r="G40" i="32"/>
  <c r="V39" i="32"/>
  <c r="M39" i="32" s="1"/>
  <c r="U39" i="32"/>
  <c r="O39" i="32"/>
  <c r="K39" i="32"/>
  <c r="G39" i="32"/>
  <c r="V38" i="32"/>
  <c r="M38" i="32" s="1"/>
  <c r="O38" i="32"/>
  <c r="K38" i="32"/>
  <c r="G38" i="32"/>
  <c r="AD37" i="32"/>
  <c r="Z37" i="32"/>
  <c r="L19" i="31" s="1"/>
  <c r="Y37" i="32"/>
  <c r="O37" i="32"/>
  <c r="K37" i="32"/>
  <c r="V36" i="32"/>
  <c r="U36" i="32"/>
  <c r="O36" i="32"/>
  <c r="M36" i="32"/>
  <c r="AF36" i="32" s="1"/>
  <c r="K36" i="32"/>
  <c r="G36" i="32"/>
  <c r="X35" i="32"/>
  <c r="W35" i="32"/>
  <c r="V35" i="32"/>
  <c r="M35" i="32" s="1"/>
  <c r="U35" i="32"/>
  <c r="O35" i="32"/>
  <c r="K35" i="32"/>
  <c r="G35" i="32"/>
  <c r="V34" i="32"/>
  <c r="M34" i="32" s="1"/>
  <c r="AF34" i="32" s="1"/>
  <c r="U34" i="32"/>
  <c r="O34" i="32"/>
  <c r="K34" i="32"/>
  <c r="G34" i="32"/>
  <c r="V33" i="32"/>
  <c r="M33" i="32" s="1"/>
  <c r="U33" i="32"/>
  <c r="O33" i="32"/>
  <c r="K33" i="32"/>
  <c r="G33" i="32"/>
  <c r="V32" i="32"/>
  <c r="M32" i="32" s="1"/>
  <c r="U32" i="32"/>
  <c r="O32" i="32"/>
  <c r="K32" i="32"/>
  <c r="G32" i="32"/>
  <c r="X31" i="32"/>
  <c r="W31" i="32"/>
  <c r="V31" i="32"/>
  <c r="M31" i="32" s="1"/>
  <c r="M37" i="32" s="1"/>
  <c r="O31" i="32"/>
  <c r="K31" i="32"/>
  <c r="G31" i="32"/>
  <c r="AD30" i="32"/>
  <c r="Z30" i="32"/>
  <c r="Y30" i="32"/>
  <c r="O30" i="32"/>
  <c r="K30" i="32"/>
  <c r="V29" i="32"/>
  <c r="U29" i="32"/>
  <c r="O29" i="32"/>
  <c r="M29" i="32"/>
  <c r="AF29" i="32" s="1"/>
  <c r="K29" i="32"/>
  <c r="G29" i="32"/>
  <c r="AF28" i="32"/>
  <c r="V28" i="32"/>
  <c r="U28" i="32"/>
  <c r="O28" i="32"/>
  <c r="M28" i="32"/>
  <c r="AE28" i="32" s="1"/>
  <c r="K28" i="32"/>
  <c r="G28" i="32"/>
  <c r="AF27" i="32"/>
  <c r="AE27" i="32"/>
  <c r="V27" i="32"/>
  <c r="U27" i="32"/>
  <c r="O27" i="32"/>
  <c r="M27" i="32"/>
  <c r="N27" i="32" s="1"/>
  <c r="K27" i="32"/>
  <c r="G27" i="32"/>
  <c r="V26" i="32"/>
  <c r="M26" i="32" s="1"/>
  <c r="U26" i="32"/>
  <c r="O26" i="32"/>
  <c r="K26" i="32"/>
  <c r="G26" i="32"/>
  <c r="X25" i="32"/>
  <c r="W25" i="32"/>
  <c r="V25" i="32"/>
  <c r="M25" i="32" s="1"/>
  <c r="O25" i="32"/>
  <c r="K25" i="32"/>
  <c r="G25" i="32"/>
  <c r="AD24" i="32"/>
  <c r="Z24" i="32"/>
  <c r="Y24" i="32"/>
  <c r="O24" i="32"/>
  <c r="K24" i="32"/>
  <c r="V23" i="32"/>
  <c r="M23" i="32" s="1"/>
  <c r="U23" i="32"/>
  <c r="O23" i="32"/>
  <c r="K23" i="32"/>
  <c r="G23" i="32"/>
  <c r="V22" i="32"/>
  <c r="M22" i="32" s="1"/>
  <c r="U22" i="32"/>
  <c r="O22" i="32"/>
  <c r="K22" i="32"/>
  <c r="G22" i="32"/>
  <c r="V21" i="32"/>
  <c r="M21" i="32" s="1"/>
  <c r="U21" i="32"/>
  <c r="O21" i="32"/>
  <c r="K21" i="32"/>
  <c r="G21" i="32"/>
  <c r="V20" i="32"/>
  <c r="M20" i="32" s="1"/>
  <c r="U20" i="32"/>
  <c r="O20" i="32"/>
  <c r="K20" i="32"/>
  <c r="G20" i="32"/>
  <c r="V19" i="32"/>
  <c r="M19" i="32" s="1"/>
  <c r="O19" i="32"/>
  <c r="K19" i="32"/>
  <c r="G19" i="32"/>
  <c r="AD18" i="32"/>
  <c r="Z18" i="32"/>
  <c r="Y18" i="32"/>
  <c r="F18" i="31" s="1"/>
  <c r="O18" i="32"/>
  <c r="K18" i="32"/>
  <c r="V17" i="32"/>
  <c r="M17" i="32" s="1"/>
  <c r="U17" i="32"/>
  <c r="O17" i="32"/>
  <c r="K17" i="32"/>
  <c r="G17" i="32"/>
  <c r="V16" i="32"/>
  <c r="M16" i="32" s="1"/>
  <c r="U16" i="32"/>
  <c r="O16" i="32"/>
  <c r="K16" i="32"/>
  <c r="G16" i="32"/>
  <c r="V15" i="32"/>
  <c r="M15" i="32" s="1"/>
  <c r="AF15" i="32" s="1"/>
  <c r="U15" i="32"/>
  <c r="O15" i="32"/>
  <c r="K15" i="32"/>
  <c r="G15" i="32"/>
  <c r="V14" i="32"/>
  <c r="M14" i="32" s="1"/>
  <c r="O14" i="32"/>
  <c r="K14" i="32"/>
  <c r="G14" i="32"/>
  <c r="AD13" i="32"/>
  <c r="Z13" i="32"/>
  <c r="Y13" i="32"/>
  <c r="Y2" i="32" s="1"/>
  <c r="K6" i="31" s="1"/>
  <c r="O13" i="32"/>
  <c r="K13" i="32"/>
  <c r="V12" i="32"/>
  <c r="U12" i="32"/>
  <c r="O12" i="32"/>
  <c r="M12" i="32"/>
  <c r="AF12" i="32" s="1"/>
  <c r="K12" i="32"/>
  <c r="G12" i="32"/>
  <c r="V11" i="32"/>
  <c r="M11" i="32" s="1"/>
  <c r="O11" i="32"/>
  <c r="K11" i="32"/>
  <c r="G11" i="32"/>
  <c r="AD10" i="32"/>
  <c r="D21" i="31" s="1"/>
  <c r="Z10" i="32"/>
  <c r="Y10" i="32"/>
  <c r="O10" i="32"/>
  <c r="K10" i="32"/>
  <c r="AF9" i="32"/>
  <c r="V9" i="32"/>
  <c r="U9" i="32"/>
  <c r="O9" i="32"/>
  <c r="M9" i="32"/>
  <c r="N9" i="32" s="1"/>
  <c r="K9" i="32"/>
  <c r="G9" i="32"/>
  <c r="V8" i="32"/>
  <c r="M8" i="32" s="1"/>
  <c r="U8" i="32"/>
  <c r="O8" i="32"/>
  <c r="K8" i="32"/>
  <c r="G8" i="32"/>
  <c r="V7" i="32"/>
  <c r="M7" i="32" s="1"/>
  <c r="U7" i="32"/>
  <c r="O7" i="32"/>
  <c r="K7" i="32"/>
  <c r="G7" i="32"/>
  <c r="V6" i="32"/>
  <c r="M6" i="32" s="1"/>
  <c r="U6" i="32"/>
  <c r="O6" i="32"/>
  <c r="K6" i="32"/>
  <c r="G6" i="32"/>
  <c r="V5" i="32"/>
  <c r="M5" i="32" s="1"/>
  <c r="O5" i="32"/>
  <c r="K5" i="32"/>
  <c r="G5" i="32"/>
  <c r="H2" i="32"/>
  <c r="H1" i="32"/>
  <c r="D1" i="32"/>
  <c r="M22" i="31"/>
  <c r="L22" i="31"/>
  <c r="K22" i="31"/>
  <c r="J22" i="31"/>
  <c r="I22" i="31"/>
  <c r="H22" i="31"/>
  <c r="G22" i="31"/>
  <c r="F22" i="31"/>
  <c r="E22" i="31"/>
  <c r="D22" i="31"/>
  <c r="M21" i="31"/>
  <c r="L21" i="31"/>
  <c r="K21" i="31"/>
  <c r="J21" i="31"/>
  <c r="I21" i="31"/>
  <c r="G21" i="31"/>
  <c r="F21" i="31"/>
  <c r="E21" i="31"/>
  <c r="M20" i="31"/>
  <c r="L20" i="31"/>
  <c r="K20" i="31"/>
  <c r="J20" i="31"/>
  <c r="I20" i="31"/>
  <c r="H20" i="31"/>
  <c r="G20" i="31"/>
  <c r="F20" i="31"/>
  <c r="E20" i="31"/>
  <c r="D20" i="31"/>
  <c r="M19" i="31"/>
  <c r="K19" i="31"/>
  <c r="J19" i="31"/>
  <c r="I19" i="31"/>
  <c r="H19" i="31"/>
  <c r="G19" i="31"/>
  <c r="F19" i="31"/>
  <c r="E19" i="31"/>
  <c r="D19" i="31"/>
  <c r="M18" i="31"/>
  <c r="L18" i="31"/>
  <c r="K18" i="31"/>
  <c r="J18" i="31"/>
  <c r="I18" i="31"/>
  <c r="H18" i="31"/>
  <c r="G18" i="31"/>
  <c r="E18" i="31"/>
  <c r="D18" i="31"/>
  <c r="M17" i="31"/>
  <c r="L17" i="31"/>
  <c r="K17" i="31"/>
  <c r="J17" i="31"/>
  <c r="I17" i="31"/>
  <c r="H17" i="31"/>
  <c r="G17" i="31"/>
  <c r="F17" i="31"/>
  <c r="E17" i="31"/>
  <c r="D17" i="31"/>
  <c r="M16" i="31"/>
  <c r="L16" i="31"/>
  <c r="K16" i="31"/>
  <c r="J16" i="31"/>
  <c r="I16" i="31"/>
  <c r="H16" i="31"/>
  <c r="G16" i="31"/>
  <c r="F16" i="31"/>
  <c r="E16" i="31"/>
  <c r="D16" i="31"/>
  <c r="M13" i="31"/>
  <c r="L13" i="31"/>
  <c r="K13" i="31"/>
  <c r="I6" i="31" s="1"/>
  <c r="J13" i="31"/>
  <c r="I13" i="31"/>
  <c r="H13" i="31"/>
  <c r="E6" i="31" s="1"/>
  <c r="G13" i="31"/>
  <c r="G6" i="31" s="1"/>
  <c r="F13" i="31"/>
  <c r="E13" i="31"/>
  <c r="D13" i="31"/>
  <c r="M6" i="31"/>
  <c r="F3" i="31"/>
  <c r="C3" i="31"/>
  <c r="AE49" i="32" l="1"/>
  <c r="AF49" i="32"/>
  <c r="AF11" i="32"/>
  <c r="M13" i="32"/>
  <c r="AF13" i="32" s="1"/>
  <c r="AG11" i="32" s="1"/>
  <c r="N11" i="32"/>
  <c r="Q11" i="32" s="1"/>
  <c r="AF16" i="32"/>
  <c r="N16" i="32"/>
  <c r="Q16" i="32" s="1"/>
  <c r="AE65" i="32"/>
  <c r="AF65" i="32"/>
  <c r="N25" i="32"/>
  <c r="Q25" i="32" s="1"/>
  <c r="AE25" i="32"/>
  <c r="AF35" i="32"/>
  <c r="N35" i="32"/>
  <c r="Q35" i="32" s="1"/>
  <c r="M55" i="32"/>
  <c r="N55" i="32" s="1"/>
  <c r="AF47" i="32"/>
  <c r="AE47" i="32"/>
  <c r="AF32" i="32"/>
  <c r="N32" i="32"/>
  <c r="Q32" i="32" s="1"/>
  <c r="N48" i="32"/>
  <c r="Q48" i="32" s="1"/>
  <c r="AF48" i="32"/>
  <c r="AE48" i="32"/>
  <c r="AF33" i="32"/>
  <c r="N33" i="32"/>
  <c r="Q33" i="32" s="1"/>
  <c r="M18" i="32"/>
  <c r="AE18" i="32" s="1"/>
  <c r="F1" i="32"/>
  <c r="AE64" i="32"/>
  <c r="AF64" i="32"/>
  <c r="AE61" i="32"/>
  <c r="AF61" i="32"/>
  <c r="AD2" i="32"/>
  <c r="N6" i="31" s="1"/>
  <c r="Z2" i="32"/>
  <c r="L6" i="31" s="1"/>
  <c r="N29" i="32"/>
  <c r="Q29" i="32" s="1"/>
  <c r="N12" i="32"/>
  <c r="Q12" i="32" s="1"/>
  <c r="AE9" i="32"/>
  <c r="N50" i="32"/>
  <c r="Q50" i="32" s="1"/>
  <c r="N53" i="32"/>
  <c r="Q53" i="32" s="1"/>
  <c r="N56" i="32"/>
  <c r="M60" i="32"/>
  <c r="AF56" i="32"/>
  <c r="AE56" i="32"/>
  <c r="N40" i="32"/>
  <c r="AF40" i="32"/>
  <c r="AE40" i="32"/>
  <c r="N63" i="32"/>
  <c r="AF63" i="32"/>
  <c r="AE63" i="32"/>
  <c r="N45" i="32"/>
  <c r="AF45" i="32"/>
  <c r="AE45" i="32"/>
  <c r="Q64" i="32"/>
  <c r="P64" i="32"/>
  <c r="P25" i="32"/>
  <c r="N42" i="32"/>
  <c r="AF42" i="32"/>
  <c r="AE42" i="32"/>
  <c r="AF37" i="32"/>
  <c r="AG31" i="32" s="1"/>
  <c r="AE37" i="32"/>
  <c r="N37" i="32"/>
  <c r="AF54" i="32"/>
  <c r="AE54" i="32"/>
  <c r="N54" i="32"/>
  <c r="N6" i="32"/>
  <c r="AF6" i="32"/>
  <c r="AE6" i="32"/>
  <c r="N21" i="32"/>
  <c r="AF21" i="32"/>
  <c r="AE21" i="32"/>
  <c r="N57" i="32"/>
  <c r="AF57" i="32"/>
  <c r="AE57" i="32"/>
  <c r="Q9" i="32"/>
  <c r="P9" i="32"/>
  <c r="N19" i="32"/>
  <c r="AF19" i="32"/>
  <c r="M24" i="32"/>
  <c r="AE19" i="32"/>
  <c r="P48" i="32"/>
  <c r="N5" i="32"/>
  <c r="AF5" i="32"/>
  <c r="M10" i="32"/>
  <c r="AE5" i="32"/>
  <c r="N20" i="32"/>
  <c r="AF20" i="32"/>
  <c r="AE20" i="32"/>
  <c r="N8" i="32"/>
  <c r="AF8" i="32"/>
  <c r="AE8" i="32"/>
  <c r="N23" i="32"/>
  <c r="AF23" i="32"/>
  <c r="AE23" i="32"/>
  <c r="N59" i="32"/>
  <c r="AF59" i="32"/>
  <c r="AE59" i="32"/>
  <c r="N43" i="32"/>
  <c r="AF43" i="32"/>
  <c r="AE43" i="32"/>
  <c r="I3" i="31"/>
  <c r="F2" i="32"/>
  <c r="N41" i="32"/>
  <c r="AF41" i="32"/>
  <c r="AE41" i="32"/>
  <c r="AF39" i="32"/>
  <c r="AE39" i="32"/>
  <c r="N39" i="32"/>
  <c r="N26" i="32"/>
  <c r="AF26" i="32"/>
  <c r="M30" i="32"/>
  <c r="AE26" i="32"/>
  <c r="N44" i="32"/>
  <c r="AF44" i="32"/>
  <c r="AE44" i="32"/>
  <c r="Q27" i="32"/>
  <c r="P27" i="32"/>
  <c r="N18" i="32"/>
  <c r="AF18" i="32"/>
  <c r="AG14" i="32" s="1"/>
  <c r="AF38" i="32"/>
  <c r="AE38" i="32"/>
  <c r="M46" i="32"/>
  <c r="N38" i="32"/>
  <c r="N7" i="32"/>
  <c r="AF7" i="32"/>
  <c r="AE7" i="32"/>
  <c r="AF17" i="32"/>
  <c r="AE17" i="32"/>
  <c r="N17" i="32"/>
  <c r="N22" i="32"/>
  <c r="AF22" i="32"/>
  <c r="AE22" i="32"/>
  <c r="N58" i="32"/>
  <c r="AF58" i="32"/>
  <c r="AE58" i="32"/>
  <c r="N62" i="32"/>
  <c r="AF62" i="32"/>
  <c r="M66" i="32"/>
  <c r="AE62" i="32"/>
  <c r="Q61" i="32"/>
  <c r="P61" i="32"/>
  <c r="N13" i="32"/>
  <c r="N14" i="32"/>
  <c r="N15" i="32"/>
  <c r="AF25" i="32"/>
  <c r="N31" i="32"/>
  <c r="N34" i="32"/>
  <c r="N36" i="32"/>
  <c r="N52" i="32"/>
  <c r="P16" i="32"/>
  <c r="P35" i="32"/>
  <c r="P53" i="32"/>
  <c r="N28" i="32"/>
  <c r="P33" i="32"/>
  <c r="N49" i="32"/>
  <c r="P51" i="32"/>
  <c r="N65" i="32"/>
  <c r="P11" i="32"/>
  <c r="N47" i="32"/>
  <c r="P50" i="32"/>
  <c r="F6" i="31"/>
  <c r="AE16" i="32"/>
  <c r="AE53" i="32"/>
  <c r="AE14" i="32"/>
  <c r="AE15" i="32"/>
  <c r="AE34" i="32"/>
  <c r="AE36" i="32"/>
  <c r="AE52" i="32"/>
  <c r="AE13" i="32"/>
  <c r="AF14" i="32"/>
  <c r="AE33" i="32"/>
  <c r="AE35" i="32"/>
  <c r="AE51" i="32"/>
  <c r="AE11" i="32"/>
  <c r="AE12" i="32"/>
  <c r="AE29" i="32"/>
  <c r="AE31" i="32"/>
  <c r="AE32" i="32"/>
  <c r="AE50" i="32"/>
  <c r="AF31" i="32"/>
  <c r="AD66" i="30"/>
  <c r="Z66" i="30"/>
  <c r="Y66" i="30"/>
  <c r="O66" i="30"/>
  <c r="K66" i="30"/>
  <c r="M13" i="29" s="1"/>
  <c r="AF65" i="30"/>
  <c r="V65" i="30"/>
  <c r="M65" i="30" s="1"/>
  <c r="N65" i="30" s="1"/>
  <c r="U65" i="30"/>
  <c r="O65" i="30"/>
  <c r="K65" i="30"/>
  <c r="G65" i="30"/>
  <c r="V64" i="30"/>
  <c r="U64" i="30"/>
  <c r="O64" i="30"/>
  <c r="M64" i="30"/>
  <c r="K64" i="30"/>
  <c r="G64" i="30"/>
  <c r="V63" i="30"/>
  <c r="M63" i="30" s="1"/>
  <c r="AF63" i="30" s="1"/>
  <c r="U63" i="30"/>
  <c r="O63" i="30"/>
  <c r="K63" i="30"/>
  <c r="G63" i="30"/>
  <c r="V62" i="30"/>
  <c r="M62" i="30" s="1"/>
  <c r="N62" i="30" s="1"/>
  <c r="U62" i="30"/>
  <c r="O62" i="30"/>
  <c r="K62" i="30"/>
  <c r="G62" i="30"/>
  <c r="X61" i="30"/>
  <c r="W61" i="30"/>
  <c r="V61" i="30"/>
  <c r="O61" i="30"/>
  <c r="M61" i="30"/>
  <c r="N61" i="30" s="1"/>
  <c r="K61" i="30"/>
  <c r="G61" i="30"/>
  <c r="AD60" i="30"/>
  <c r="J21" i="29" s="1"/>
  <c r="Z60" i="30"/>
  <c r="J19" i="29" s="1"/>
  <c r="Y60" i="30"/>
  <c r="J18" i="29" s="1"/>
  <c r="O60" i="30"/>
  <c r="K60" i="30"/>
  <c r="V59" i="30"/>
  <c r="M59" i="30" s="1"/>
  <c r="AF59" i="30" s="1"/>
  <c r="U59" i="30"/>
  <c r="O59" i="30"/>
  <c r="K59" i="30"/>
  <c r="G59" i="30"/>
  <c r="AF58" i="30"/>
  <c r="V58" i="30"/>
  <c r="M58" i="30" s="1"/>
  <c r="N58" i="30" s="1"/>
  <c r="U58" i="30"/>
  <c r="O58" i="30"/>
  <c r="K58" i="30"/>
  <c r="G58" i="30"/>
  <c r="V57" i="30"/>
  <c r="U57" i="30"/>
  <c r="O57" i="30"/>
  <c r="M57" i="30"/>
  <c r="K57" i="30"/>
  <c r="G57" i="30"/>
  <c r="V56" i="30"/>
  <c r="M56" i="30" s="1"/>
  <c r="O56" i="30"/>
  <c r="K56" i="30"/>
  <c r="G56" i="30"/>
  <c r="AD55" i="30"/>
  <c r="Z55" i="30"/>
  <c r="I19" i="29" s="1"/>
  <c r="Y55" i="30"/>
  <c r="I18" i="29" s="1"/>
  <c r="O55" i="30"/>
  <c r="K55" i="30"/>
  <c r="V54" i="30"/>
  <c r="M54" i="30" s="1"/>
  <c r="U54" i="30"/>
  <c r="O54" i="30"/>
  <c r="K54" i="30"/>
  <c r="G54" i="30"/>
  <c r="V53" i="30"/>
  <c r="M53" i="30" s="1"/>
  <c r="U53" i="30"/>
  <c r="O53" i="30"/>
  <c r="K53" i="30"/>
  <c r="G53" i="30"/>
  <c r="V52" i="30"/>
  <c r="U52" i="30"/>
  <c r="O52" i="30"/>
  <c r="M52" i="30"/>
  <c r="N52" i="30" s="1"/>
  <c r="K52" i="30"/>
  <c r="G52" i="30"/>
  <c r="AE51" i="30"/>
  <c r="V51" i="30"/>
  <c r="M51" i="30" s="1"/>
  <c r="U51" i="30"/>
  <c r="O51" i="30"/>
  <c r="K51" i="30"/>
  <c r="G51" i="30"/>
  <c r="V50" i="30"/>
  <c r="U50" i="30"/>
  <c r="O50" i="30"/>
  <c r="M50" i="30"/>
  <c r="AF50" i="30" s="1"/>
  <c r="K50" i="30"/>
  <c r="G50" i="30"/>
  <c r="AF49" i="30"/>
  <c r="V49" i="30"/>
  <c r="M49" i="30" s="1"/>
  <c r="N49" i="30" s="1"/>
  <c r="U49" i="30"/>
  <c r="O49" i="30"/>
  <c r="K49" i="30"/>
  <c r="G49" i="30"/>
  <c r="V48" i="30"/>
  <c r="U48" i="30"/>
  <c r="O48" i="30"/>
  <c r="M48" i="30"/>
  <c r="K48" i="30"/>
  <c r="G48" i="30"/>
  <c r="V47" i="30"/>
  <c r="M47" i="30" s="1"/>
  <c r="O47" i="30"/>
  <c r="K47" i="30"/>
  <c r="G47" i="30"/>
  <c r="AD46" i="30"/>
  <c r="H21" i="29" s="1"/>
  <c r="Z46" i="30"/>
  <c r="Y46" i="30"/>
  <c r="H18" i="29" s="1"/>
  <c r="O46" i="30"/>
  <c r="K46" i="30"/>
  <c r="V45" i="30"/>
  <c r="M45" i="30" s="1"/>
  <c r="U45" i="30"/>
  <c r="O45" i="30"/>
  <c r="K45" i="30"/>
  <c r="G45" i="30"/>
  <c r="V44" i="30"/>
  <c r="M44" i="30" s="1"/>
  <c r="U44" i="30"/>
  <c r="O44" i="30"/>
  <c r="K44" i="30"/>
  <c r="G44" i="30"/>
  <c r="X43" i="30"/>
  <c r="W43" i="30"/>
  <c r="V43" i="30"/>
  <c r="U43" i="30"/>
  <c r="O43" i="30"/>
  <c r="M43" i="30"/>
  <c r="N43" i="30" s="1"/>
  <c r="K43" i="30"/>
  <c r="G43" i="30"/>
  <c r="AF42" i="30"/>
  <c r="V42" i="30"/>
  <c r="M42" i="30" s="1"/>
  <c r="N42" i="30" s="1"/>
  <c r="U42" i="30"/>
  <c r="O42" i="30"/>
  <c r="K42" i="30"/>
  <c r="G42" i="30"/>
  <c r="V41" i="30"/>
  <c r="U41" i="30"/>
  <c r="O41" i="30"/>
  <c r="M41" i="30"/>
  <c r="K41" i="30"/>
  <c r="G41" i="30"/>
  <c r="V40" i="30"/>
  <c r="M40" i="30" s="1"/>
  <c r="AF40" i="30" s="1"/>
  <c r="U40" i="30"/>
  <c r="O40" i="30"/>
  <c r="K40" i="30"/>
  <c r="G40" i="30"/>
  <c r="V39" i="30"/>
  <c r="U39" i="30"/>
  <c r="O39" i="30"/>
  <c r="M39" i="30"/>
  <c r="N39" i="30" s="1"/>
  <c r="K39" i="30"/>
  <c r="G39" i="30"/>
  <c r="V38" i="30"/>
  <c r="M38" i="30" s="1"/>
  <c r="O38" i="30"/>
  <c r="K38" i="30"/>
  <c r="G38" i="30"/>
  <c r="AD37" i="30"/>
  <c r="L21" i="29" s="1"/>
  <c r="Z37" i="30"/>
  <c r="L19" i="29" s="1"/>
  <c r="Y37" i="30"/>
  <c r="L18" i="29" s="1"/>
  <c r="O37" i="30"/>
  <c r="K37" i="30"/>
  <c r="AE36" i="30"/>
  <c r="V36" i="30"/>
  <c r="U36" i="30"/>
  <c r="O36" i="30"/>
  <c r="M36" i="30"/>
  <c r="N36" i="30" s="1"/>
  <c r="K36" i="30"/>
  <c r="G36" i="30"/>
  <c r="X35" i="30"/>
  <c r="W35" i="30"/>
  <c r="V35" i="30"/>
  <c r="M35" i="30" s="1"/>
  <c r="AE35" i="30" s="1"/>
  <c r="U35" i="30"/>
  <c r="O35" i="30"/>
  <c r="K35" i="30"/>
  <c r="G35" i="30"/>
  <c r="V34" i="30"/>
  <c r="M34" i="30" s="1"/>
  <c r="U34" i="30"/>
  <c r="O34" i="30"/>
  <c r="K34" i="30"/>
  <c r="G34" i="30"/>
  <c r="V33" i="30"/>
  <c r="M33" i="30" s="1"/>
  <c r="AF33" i="30" s="1"/>
  <c r="U33" i="30"/>
  <c r="O33" i="30"/>
  <c r="K33" i="30"/>
  <c r="G33" i="30"/>
  <c r="V32" i="30"/>
  <c r="U32" i="30"/>
  <c r="O32" i="30"/>
  <c r="N32" i="30"/>
  <c r="M32" i="30"/>
  <c r="K32" i="30"/>
  <c r="G32" i="30"/>
  <c r="X31" i="30"/>
  <c r="W31" i="30"/>
  <c r="V31" i="30"/>
  <c r="M31" i="30" s="1"/>
  <c r="O31" i="30"/>
  <c r="K31" i="30"/>
  <c r="G31" i="30"/>
  <c r="AD30" i="30"/>
  <c r="K21" i="29" s="1"/>
  <c r="Z30" i="30"/>
  <c r="K19" i="29" s="1"/>
  <c r="Y30" i="30"/>
  <c r="O30" i="30"/>
  <c r="K30" i="30"/>
  <c r="K13" i="29" s="1"/>
  <c r="V29" i="30"/>
  <c r="M29" i="30" s="1"/>
  <c r="AF29" i="30" s="1"/>
  <c r="U29" i="30"/>
  <c r="O29" i="30"/>
  <c r="K29" i="30"/>
  <c r="G29" i="30"/>
  <c r="AF28" i="30"/>
  <c r="V28" i="30"/>
  <c r="M28" i="30" s="1"/>
  <c r="N28" i="30" s="1"/>
  <c r="U28" i="30"/>
  <c r="O28" i="30"/>
  <c r="K28" i="30"/>
  <c r="G28" i="30"/>
  <c r="V27" i="30"/>
  <c r="M27" i="30" s="1"/>
  <c r="U27" i="30"/>
  <c r="O27" i="30"/>
  <c r="K27" i="30"/>
  <c r="G27" i="30"/>
  <c r="AF26" i="30"/>
  <c r="V26" i="30"/>
  <c r="M26" i="30" s="1"/>
  <c r="U26" i="30"/>
  <c r="O26" i="30"/>
  <c r="K26" i="30"/>
  <c r="G26" i="30"/>
  <c r="X25" i="30"/>
  <c r="W25" i="30"/>
  <c r="V25" i="30"/>
  <c r="M25" i="30" s="1"/>
  <c r="O25" i="30"/>
  <c r="K25" i="30"/>
  <c r="G25" i="30"/>
  <c r="AD24" i="30"/>
  <c r="Z24" i="30"/>
  <c r="Y24" i="30"/>
  <c r="G18" i="29" s="1"/>
  <c r="O24" i="30"/>
  <c r="K24" i="30"/>
  <c r="G13" i="29" s="1"/>
  <c r="V23" i="30"/>
  <c r="M23" i="30" s="1"/>
  <c r="N23" i="30" s="1"/>
  <c r="P23" i="30" s="1"/>
  <c r="U23" i="30"/>
  <c r="O23" i="30"/>
  <c r="K23" i="30"/>
  <c r="G23" i="30"/>
  <c r="V22" i="30"/>
  <c r="U22" i="30"/>
  <c r="O22" i="30"/>
  <c r="M22" i="30"/>
  <c r="AF22" i="30" s="1"/>
  <c r="K22" i="30"/>
  <c r="G22" i="30"/>
  <c r="AF21" i="30"/>
  <c r="V21" i="30"/>
  <c r="M21" i="30" s="1"/>
  <c r="N21" i="30" s="1"/>
  <c r="U21" i="30"/>
  <c r="O21" i="30"/>
  <c r="K21" i="30"/>
  <c r="G21" i="30"/>
  <c r="V20" i="30"/>
  <c r="M20" i="30" s="1"/>
  <c r="U20" i="30"/>
  <c r="O20" i="30"/>
  <c r="K20" i="30"/>
  <c r="G20" i="30"/>
  <c r="V19" i="30"/>
  <c r="M19" i="30" s="1"/>
  <c r="O19" i="30"/>
  <c r="K19" i="30"/>
  <c r="G19" i="30"/>
  <c r="AD18" i="30"/>
  <c r="Z18" i="30"/>
  <c r="F19" i="29" s="1"/>
  <c r="Y18" i="30"/>
  <c r="F18" i="29" s="1"/>
  <c r="O18" i="30"/>
  <c r="K18" i="30"/>
  <c r="V17" i="30"/>
  <c r="M17" i="30" s="1"/>
  <c r="U17" i="30"/>
  <c r="O17" i="30"/>
  <c r="K17" i="30"/>
  <c r="G17" i="30"/>
  <c r="V16" i="30"/>
  <c r="M16" i="30" s="1"/>
  <c r="U16" i="30"/>
  <c r="O16" i="30"/>
  <c r="K16" i="30"/>
  <c r="G16" i="30"/>
  <c r="V15" i="30"/>
  <c r="U15" i="30"/>
  <c r="O15" i="30"/>
  <c r="M15" i="30"/>
  <c r="N15" i="30" s="1"/>
  <c r="K15" i="30"/>
  <c r="G15" i="30"/>
  <c r="AF14" i="30"/>
  <c r="AE14" i="30"/>
  <c r="V14" i="30"/>
  <c r="M14" i="30" s="1"/>
  <c r="O14" i="30"/>
  <c r="K14" i="30"/>
  <c r="G14" i="30"/>
  <c r="AD13" i="30"/>
  <c r="E21" i="29" s="1"/>
  <c r="Z13" i="30"/>
  <c r="Y13" i="30"/>
  <c r="O13" i="30"/>
  <c r="K13" i="30"/>
  <c r="AF12" i="30"/>
  <c r="V12" i="30"/>
  <c r="M12" i="30" s="1"/>
  <c r="N12" i="30" s="1"/>
  <c r="U12" i="30"/>
  <c r="O12" i="30"/>
  <c r="K12" i="30"/>
  <c r="G12" i="30"/>
  <c r="V11" i="30"/>
  <c r="M11" i="30" s="1"/>
  <c r="O11" i="30"/>
  <c r="K11" i="30"/>
  <c r="G11" i="30"/>
  <c r="AD10" i="30"/>
  <c r="Z10" i="30"/>
  <c r="Z2" i="30" s="1"/>
  <c r="L6" i="29" s="1"/>
  <c r="Y10" i="30"/>
  <c r="D18" i="29" s="1"/>
  <c r="O10" i="30"/>
  <c r="K10" i="30"/>
  <c r="V9" i="30"/>
  <c r="M9" i="30" s="1"/>
  <c r="N9" i="30" s="1"/>
  <c r="U9" i="30"/>
  <c r="O9" i="30"/>
  <c r="K9" i="30"/>
  <c r="G9" i="30"/>
  <c r="V8" i="30"/>
  <c r="M8" i="30" s="1"/>
  <c r="U8" i="30"/>
  <c r="O8" i="30"/>
  <c r="K8" i="30"/>
  <c r="G8" i="30"/>
  <c r="V7" i="30"/>
  <c r="M7" i="30" s="1"/>
  <c r="AE7" i="30" s="1"/>
  <c r="U7" i="30"/>
  <c r="O7" i="30"/>
  <c r="K7" i="30"/>
  <c r="G7" i="30"/>
  <c r="V6" i="30"/>
  <c r="M6" i="30" s="1"/>
  <c r="U6" i="30"/>
  <c r="O6" i="30"/>
  <c r="K6" i="30"/>
  <c r="G6" i="30"/>
  <c r="AE5" i="30"/>
  <c r="V5" i="30"/>
  <c r="M5" i="30" s="1"/>
  <c r="AF5" i="30" s="1"/>
  <c r="O5" i="30"/>
  <c r="K5" i="30"/>
  <c r="G5" i="30"/>
  <c r="F1" i="30" s="1"/>
  <c r="H2" i="30"/>
  <c r="H1" i="30"/>
  <c r="D1" i="30"/>
  <c r="F3" i="29" s="1"/>
  <c r="M22" i="29"/>
  <c r="L22" i="29"/>
  <c r="K22" i="29"/>
  <c r="J22" i="29"/>
  <c r="I22" i="29"/>
  <c r="H22" i="29"/>
  <c r="G22" i="29"/>
  <c r="F22" i="29"/>
  <c r="E22" i="29"/>
  <c r="D22" i="29"/>
  <c r="M21" i="29"/>
  <c r="I21" i="29"/>
  <c r="G21" i="29"/>
  <c r="F21" i="29"/>
  <c r="D21" i="29"/>
  <c r="M20" i="29"/>
  <c r="L20" i="29"/>
  <c r="K20" i="29"/>
  <c r="J20" i="29"/>
  <c r="I20" i="29"/>
  <c r="H20" i="29"/>
  <c r="G20" i="29"/>
  <c r="F20" i="29"/>
  <c r="E20" i="29"/>
  <c r="D20" i="29"/>
  <c r="M19" i="29"/>
  <c r="H19" i="29"/>
  <c r="G19" i="29"/>
  <c r="E19" i="29"/>
  <c r="M18" i="29"/>
  <c r="K18" i="29"/>
  <c r="E18" i="29"/>
  <c r="M17" i="29"/>
  <c r="L17" i="29"/>
  <c r="K17" i="29"/>
  <c r="J17" i="29"/>
  <c r="I17" i="29"/>
  <c r="H17" i="29"/>
  <c r="G17" i="29"/>
  <c r="F17" i="29"/>
  <c r="E17" i="29"/>
  <c r="D17" i="29"/>
  <c r="M16" i="29"/>
  <c r="L16" i="29"/>
  <c r="K16" i="29"/>
  <c r="J16" i="29"/>
  <c r="I16" i="29"/>
  <c r="H16" i="29"/>
  <c r="G16" i="29"/>
  <c r="F16" i="29"/>
  <c r="E16" i="29"/>
  <c r="D16" i="29"/>
  <c r="L13" i="29"/>
  <c r="J13" i="29"/>
  <c r="I13" i="29"/>
  <c r="H13" i="29"/>
  <c r="F13" i="29"/>
  <c r="E13" i="29"/>
  <c r="D13" i="29"/>
  <c r="M6" i="29"/>
  <c r="C3" i="29"/>
  <c r="Q9" i="30" l="1"/>
  <c r="P9" i="30"/>
  <c r="M13" i="30"/>
  <c r="N11" i="30"/>
  <c r="N31" i="30"/>
  <c r="AF31" i="30"/>
  <c r="AE21" i="30"/>
  <c r="AE55" i="32"/>
  <c r="AE58" i="30"/>
  <c r="AF61" i="30"/>
  <c r="AF55" i="32"/>
  <c r="AG47" i="32" s="1"/>
  <c r="AE28" i="30"/>
  <c r="D19" i="29"/>
  <c r="AE65" i="30"/>
  <c r="AE12" i="30"/>
  <c r="AE15" i="30"/>
  <c r="Q23" i="30"/>
  <c r="I6" i="29"/>
  <c r="AE42" i="30"/>
  <c r="AE49" i="30"/>
  <c r="AE52" i="30"/>
  <c r="AE23" i="30"/>
  <c r="AF23" i="30"/>
  <c r="AD2" i="30"/>
  <c r="N6" i="29" s="1"/>
  <c r="P32" i="32"/>
  <c r="P29" i="32"/>
  <c r="P12" i="32"/>
  <c r="E14" i="31"/>
  <c r="E15" i="31" s="1"/>
  <c r="Q13" i="32"/>
  <c r="R11" i="32" s="1"/>
  <c r="P13" i="32"/>
  <c r="Q43" i="32"/>
  <c r="P43" i="32"/>
  <c r="Q20" i="32"/>
  <c r="P20" i="32"/>
  <c r="Q22" i="32"/>
  <c r="P22" i="32"/>
  <c r="Q28" i="32"/>
  <c r="P28" i="32"/>
  <c r="Q17" i="32"/>
  <c r="P17" i="32"/>
  <c r="F14" i="31"/>
  <c r="F15" i="31" s="1"/>
  <c r="Q18" i="32"/>
  <c r="R14" i="32" s="1"/>
  <c r="P18" i="32"/>
  <c r="Q26" i="32"/>
  <c r="P26" i="32"/>
  <c r="L14" i="31"/>
  <c r="L15" i="31" s="1"/>
  <c r="Q37" i="32"/>
  <c r="R31" i="32" s="1"/>
  <c r="P37" i="32"/>
  <c r="Q45" i="32"/>
  <c r="P45" i="32"/>
  <c r="Q39" i="32"/>
  <c r="P39" i="32"/>
  <c r="AE10" i="32"/>
  <c r="N10" i="32"/>
  <c r="AF10" i="32"/>
  <c r="AG5" i="32" s="1"/>
  <c r="Q47" i="32"/>
  <c r="P47" i="32"/>
  <c r="AF66" i="32"/>
  <c r="AG61" i="32" s="1"/>
  <c r="AE66" i="32"/>
  <c r="N66" i="32"/>
  <c r="I14" i="31"/>
  <c r="I15" i="31" s="1"/>
  <c r="Q55" i="32"/>
  <c r="R47" i="32" s="1"/>
  <c r="P55" i="32"/>
  <c r="P5" i="32"/>
  <c r="Q5" i="32"/>
  <c r="Q63" i="32"/>
  <c r="P63" i="32"/>
  <c r="Q52" i="32"/>
  <c r="P52" i="32"/>
  <c r="Q59" i="32"/>
  <c r="P59" i="32"/>
  <c r="Q36" i="32"/>
  <c r="P36" i="32"/>
  <c r="Q62" i="32"/>
  <c r="P62" i="32"/>
  <c r="Q7" i="32"/>
  <c r="P7" i="32"/>
  <c r="Q23" i="32"/>
  <c r="P23" i="32"/>
  <c r="P21" i="32"/>
  <c r="Q21" i="32"/>
  <c r="P42" i="32"/>
  <c r="Q42" i="32"/>
  <c r="Q34" i="32"/>
  <c r="P34" i="32"/>
  <c r="Q38" i="32"/>
  <c r="P38" i="32"/>
  <c r="Q41" i="32"/>
  <c r="P41" i="32"/>
  <c r="Q40" i="32"/>
  <c r="P40" i="32"/>
  <c r="Q57" i="32"/>
  <c r="P57" i="32"/>
  <c r="Q31" i="32"/>
  <c r="P31" i="32"/>
  <c r="N46" i="32"/>
  <c r="AF46" i="32"/>
  <c r="AG38" i="32" s="1"/>
  <c r="AE46" i="32"/>
  <c r="N24" i="32"/>
  <c r="AF24" i="32"/>
  <c r="AG19" i="32" s="1"/>
  <c r="AE24" i="32"/>
  <c r="Q65" i="32"/>
  <c r="P65" i="32"/>
  <c r="P58" i="32"/>
  <c r="Q58" i="32"/>
  <c r="P44" i="32"/>
  <c r="Q44" i="32"/>
  <c r="Q8" i="32"/>
  <c r="P8" i="32"/>
  <c r="P6" i="32"/>
  <c r="Q6" i="32"/>
  <c r="Q15" i="32"/>
  <c r="P15" i="32"/>
  <c r="Q19" i="32"/>
  <c r="P19" i="32"/>
  <c r="Q54" i="32"/>
  <c r="P54" i="32"/>
  <c r="N60" i="32"/>
  <c r="AF60" i="32"/>
  <c r="AG56" i="32" s="1"/>
  <c r="AE60" i="32"/>
  <c r="Q49" i="32"/>
  <c r="P49" i="32"/>
  <c r="Q14" i="32"/>
  <c r="P14" i="32"/>
  <c r="AF30" i="32"/>
  <c r="AG25" i="32" s="1"/>
  <c r="AE30" i="32"/>
  <c r="N30" i="32"/>
  <c r="Q56" i="32"/>
  <c r="P56" i="32"/>
  <c r="F6" i="29"/>
  <c r="G6" i="29"/>
  <c r="E6" i="29"/>
  <c r="F2" i="30"/>
  <c r="I3" i="29"/>
  <c r="M10" i="30"/>
  <c r="N5" i="30"/>
  <c r="AE6" i="30"/>
  <c r="N6" i="30"/>
  <c r="AF6" i="30"/>
  <c r="N7" i="30"/>
  <c r="AF7" i="30"/>
  <c r="N8" i="30"/>
  <c r="AF8" i="30"/>
  <c r="AE8" i="30"/>
  <c r="AF9" i="30"/>
  <c r="AE9" i="30"/>
  <c r="AF11" i="30"/>
  <c r="AE11" i="30"/>
  <c r="P11" i="30"/>
  <c r="Q11" i="30"/>
  <c r="Q12" i="30"/>
  <c r="P12" i="30"/>
  <c r="AF13" i="30"/>
  <c r="AG11" i="30" s="1"/>
  <c r="AE13" i="30"/>
  <c r="N13" i="30"/>
  <c r="M18" i="30"/>
  <c r="N18" i="30" s="1"/>
  <c r="N14" i="30"/>
  <c r="Q15" i="30"/>
  <c r="P15" i="30"/>
  <c r="AF16" i="30"/>
  <c r="N16" i="30"/>
  <c r="AE16" i="30"/>
  <c r="N17" i="30"/>
  <c r="AF17" i="30"/>
  <c r="AE17" i="30"/>
  <c r="N19" i="30"/>
  <c r="M24" i="30"/>
  <c r="AF19" i="30"/>
  <c r="AE19" i="30"/>
  <c r="AF20" i="30"/>
  <c r="AE20" i="30"/>
  <c r="N20" i="30"/>
  <c r="Q21" i="30"/>
  <c r="P21" i="30"/>
  <c r="AF25" i="30"/>
  <c r="AE25" i="30"/>
  <c r="N25" i="30"/>
  <c r="M30" i="30"/>
  <c r="AE30" i="30" s="1"/>
  <c r="N26" i="30"/>
  <c r="AE26" i="30"/>
  <c r="AF27" i="30"/>
  <c r="AE27" i="30"/>
  <c r="N27" i="30"/>
  <c r="Q28" i="30"/>
  <c r="P28" i="30"/>
  <c r="Q31" i="30"/>
  <c r="P31" i="30"/>
  <c r="AF32" i="30"/>
  <c r="AE32" i="30"/>
  <c r="M37" i="30"/>
  <c r="P32" i="30"/>
  <c r="Q32" i="30"/>
  <c r="N33" i="30"/>
  <c r="AE33" i="30"/>
  <c r="AF34" i="30"/>
  <c r="AE34" i="30"/>
  <c r="N34" i="30"/>
  <c r="AF35" i="30"/>
  <c r="N35" i="30"/>
  <c r="Q36" i="30"/>
  <c r="P36" i="30"/>
  <c r="N38" i="30"/>
  <c r="M46" i="30"/>
  <c r="N46" i="30" s="1"/>
  <c r="AF38" i="30"/>
  <c r="AE38" i="30"/>
  <c r="AF39" i="30"/>
  <c r="AE39" i="30"/>
  <c r="P39" i="30"/>
  <c r="Q39" i="30"/>
  <c r="N40" i="30"/>
  <c r="AE40" i="30"/>
  <c r="AF41" i="30"/>
  <c r="AE41" i="30"/>
  <c r="N41" i="30"/>
  <c r="Q42" i="30"/>
  <c r="P42" i="30"/>
  <c r="Q43" i="30"/>
  <c r="P43" i="30"/>
  <c r="AF44" i="30"/>
  <c r="N44" i="30"/>
  <c r="AE44" i="30"/>
  <c r="N45" i="30"/>
  <c r="AF45" i="30"/>
  <c r="AE45" i="30"/>
  <c r="N47" i="30"/>
  <c r="M55" i="30"/>
  <c r="N55" i="30" s="1"/>
  <c r="AF47" i="30"/>
  <c r="AE47" i="30"/>
  <c r="AF48" i="30"/>
  <c r="AE48" i="30"/>
  <c r="N48" i="30"/>
  <c r="Q49" i="30"/>
  <c r="P49" i="30"/>
  <c r="N51" i="30"/>
  <c r="AF51" i="30"/>
  <c r="Q52" i="30"/>
  <c r="P52" i="30"/>
  <c r="AF53" i="30"/>
  <c r="N53" i="30"/>
  <c r="AE53" i="30"/>
  <c r="N54" i="30"/>
  <c r="AF54" i="30"/>
  <c r="AE54" i="30"/>
  <c r="N56" i="30"/>
  <c r="AF56" i="30"/>
  <c r="AE56" i="30"/>
  <c r="M60" i="30"/>
  <c r="AE60" i="30" s="1"/>
  <c r="AF57" i="30"/>
  <c r="AE57" i="30"/>
  <c r="N57" i="30"/>
  <c r="Q58" i="30"/>
  <c r="P58" i="30"/>
  <c r="Q61" i="30"/>
  <c r="P61" i="30"/>
  <c r="AF62" i="30"/>
  <c r="M66" i="30"/>
  <c r="AE62" i="30"/>
  <c r="P62" i="30"/>
  <c r="Q62" i="30"/>
  <c r="N63" i="30"/>
  <c r="AE63" i="30"/>
  <c r="AF64" i="30"/>
  <c r="AE64" i="30"/>
  <c r="N64" i="30"/>
  <c r="Q65" i="30"/>
  <c r="P65" i="30"/>
  <c r="AE43" i="30"/>
  <c r="AF15" i="30"/>
  <c r="AF36" i="30"/>
  <c r="AF43" i="30"/>
  <c r="AF52" i="30"/>
  <c r="AE31" i="30"/>
  <c r="AE61" i="30"/>
  <c r="N22" i="30"/>
  <c r="N29" i="30"/>
  <c r="N50" i="30"/>
  <c r="N59" i="30"/>
  <c r="Y2" i="30"/>
  <c r="K6" i="29" s="1"/>
  <c r="AE22" i="30"/>
  <c r="AE29" i="30"/>
  <c r="AE50" i="30"/>
  <c r="AE59" i="30"/>
  <c r="AD70" i="28"/>
  <c r="Z70" i="28"/>
  <c r="Y70" i="28"/>
  <c r="O70" i="28"/>
  <c r="K70" i="28"/>
  <c r="M13" i="27" s="1"/>
  <c r="V69" i="28"/>
  <c r="M69" i="28" s="1"/>
  <c r="U69" i="28"/>
  <c r="O69" i="28"/>
  <c r="K69" i="28"/>
  <c r="G69" i="28"/>
  <c r="X68" i="28"/>
  <c r="W68" i="28"/>
  <c r="V68" i="28"/>
  <c r="M68" i="28" s="1"/>
  <c r="AF68" i="28" s="1"/>
  <c r="U68" i="28"/>
  <c r="O68" i="28"/>
  <c r="K68" i="28"/>
  <c r="G68" i="28"/>
  <c r="AF67" i="28"/>
  <c r="V67" i="28"/>
  <c r="M67" i="28" s="1"/>
  <c r="N67" i="28" s="1"/>
  <c r="P67" i="28" s="1"/>
  <c r="U67" i="28"/>
  <c r="O67" i="28"/>
  <c r="K67" i="28"/>
  <c r="G67" i="28"/>
  <c r="V66" i="28"/>
  <c r="M66" i="28" s="1"/>
  <c r="AE66" i="28" s="1"/>
  <c r="U66" i="28"/>
  <c r="O66" i="28"/>
  <c r="K66" i="28"/>
  <c r="G66" i="28"/>
  <c r="X65" i="28"/>
  <c r="W65" i="28"/>
  <c r="V65" i="28"/>
  <c r="O65" i="28"/>
  <c r="M65" i="28"/>
  <c r="N65" i="28" s="1"/>
  <c r="Q65" i="28" s="1"/>
  <c r="K65" i="28"/>
  <c r="G65" i="28"/>
  <c r="AD64" i="28"/>
  <c r="J21" i="27" s="1"/>
  <c r="Z64" i="28"/>
  <c r="J19" i="27" s="1"/>
  <c r="Y64" i="28"/>
  <c r="J18" i="27" s="1"/>
  <c r="O64" i="28"/>
  <c r="K64" i="28"/>
  <c r="V63" i="28"/>
  <c r="M63" i="28" s="1"/>
  <c r="AF63" i="28" s="1"/>
  <c r="U63" i="28"/>
  <c r="O63" i="28"/>
  <c r="K63" i="28"/>
  <c r="G63" i="28"/>
  <c r="V62" i="28"/>
  <c r="M62" i="28" s="1"/>
  <c r="U62" i="28"/>
  <c r="O62" i="28"/>
  <c r="K62" i="28"/>
  <c r="G62" i="28"/>
  <c r="V61" i="28"/>
  <c r="M61" i="28" s="1"/>
  <c r="AF61" i="28" s="1"/>
  <c r="U61" i="28"/>
  <c r="O61" i="28"/>
  <c r="K61" i="28"/>
  <c r="G61" i="28"/>
  <c r="AF60" i="28"/>
  <c r="V60" i="28"/>
  <c r="O60" i="28"/>
  <c r="M60" i="28"/>
  <c r="AE60" i="28" s="1"/>
  <c r="K60" i="28"/>
  <c r="G60" i="28"/>
  <c r="AD59" i="28"/>
  <c r="Z59" i="28"/>
  <c r="Y59" i="28"/>
  <c r="I18" i="27" s="1"/>
  <c r="O59" i="28"/>
  <c r="K59" i="28"/>
  <c r="AE58" i="28"/>
  <c r="V58" i="28"/>
  <c r="U58" i="28"/>
  <c r="O58" i="28"/>
  <c r="M58" i="28"/>
  <c r="AF58" i="28" s="1"/>
  <c r="K58" i="28"/>
  <c r="G58" i="28"/>
  <c r="V57" i="28"/>
  <c r="M57" i="28" s="1"/>
  <c r="N57" i="28" s="1"/>
  <c r="U57" i="28"/>
  <c r="O57" i="28"/>
  <c r="K57" i="28"/>
  <c r="G57" i="28"/>
  <c r="V56" i="28"/>
  <c r="U56" i="28"/>
  <c r="O56" i="28"/>
  <c r="M56" i="28"/>
  <c r="N56" i="28" s="1"/>
  <c r="Q56" i="28" s="1"/>
  <c r="K56" i="28"/>
  <c r="G56" i="28"/>
  <c r="V55" i="28"/>
  <c r="M55" i="28" s="1"/>
  <c r="U55" i="28"/>
  <c r="O55" i="28"/>
  <c r="K55" i="28"/>
  <c r="G55" i="28"/>
  <c r="V54" i="28"/>
  <c r="M54" i="28" s="1"/>
  <c r="AF54" i="28" s="1"/>
  <c r="U54" i="28"/>
  <c r="O54" i="28"/>
  <c r="K54" i="28"/>
  <c r="G54" i="28"/>
  <c r="V53" i="28"/>
  <c r="M53" i="28" s="1"/>
  <c r="U53" i="28"/>
  <c r="O53" i="28"/>
  <c r="K53" i="28"/>
  <c r="G53" i="28"/>
  <c r="V52" i="28"/>
  <c r="M52" i="28" s="1"/>
  <c r="AF52" i="28" s="1"/>
  <c r="U52" i="28"/>
  <c r="O52" i="28"/>
  <c r="K52" i="28"/>
  <c r="G52" i="28"/>
  <c r="V51" i="28"/>
  <c r="M51" i="28" s="1"/>
  <c r="O51" i="28"/>
  <c r="K51" i="28"/>
  <c r="G51" i="28"/>
  <c r="AD50" i="28"/>
  <c r="Z50" i="28"/>
  <c r="Y50" i="28"/>
  <c r="H18" i="27" s="1"/>
  <c r="O50" i="28"/>
  <c r="K50" i="28"/>
  <c r="V49" i="28"/>
  <c r="M49" i="28" s="1"/>
  <c r="U49" i="28"/>
  <c r="O49" i="28"/>
  <c r="K49" i="28"/>
  <c r="G49" i="28"/>
  <c r="V48" i="28"/>
  <c r="M48" i="28" s="1"/>
  <c r="N48" i="28" s="1"/>
  <c r="U48" i="28"/>
  <c r="O48" i="28"/>
  <c r="K48" i="28"/>
  <c r="G48" i="28"/>
  <c r="X47" i="28"/>
  <c r="W47" i="28"/>
  <c r="V47" i="28"/>
  <c r="U47" i="28"/>
  <c r="O47" i="28"/>
  <c r="M47" i="28"/>
  <c r="AF47" i="28" s="1"/>
  <c r="K47" i="28"/>
  <c r="G47" i="28"/>
  <c r="V46" i="28"/>
  <c r="M46" i="28" s="1"/>
  <c r="U46" i="28"/>
  <c r="O46" i="28"/>
  <c r="K46" i="28"/>
  <c r="G46" i="28"/>
  <c r="V45" i="28"/>
  <c r="U45" i="28"/>
  <c r="O45" i="28"/>
  <c r="M45" i="28"/>
  <c r="AF45" i="28" s="1"/>
  <c r="K45" i="28"/>
  <c r="G45" i="28"/>
  <c r="V44" i="28"/>
  <c r="M44" i="28" s="1"/>
  <c r="N44" i="28" s="1"/>
  <c r="U44" i="28"/>
  <c r="O44" i="28"/>
  <c r="K44" i="28"/>
  <c r="G44" i="28"/>
  <c r="V43" i="28"/>
  <c r="U43" i="28"/>
  <c r="O43" i="28"/>
  <c r="M43" i="28"/>
  <c r="AF43" i="28" s="1"/>
  <c r="K43" i="28"/>
  <c r="G43" i="28"/>
  <c r="AF42" i="28"/>
  <c r="V42" i="28"/>
  <c r="O42" i="28"/>
  <c r="M42" i="28"/>
  <c r="AE42" i="28" s="1"/>
  <c r="K42" i="28"/>
  <c r="G42" i="28"/>
  <c r="AD41" i="28"/>
  <c r="Z41" i="28"/>
  <c r="L19" i="27" s="1"/>
  <c r="Y41" i="28"/>
  <c r="O41" i="28"/>
  <c r="K41" i="28"/>
  <c r="L13" i="27" s="1"/>
  <c r="AF40" i="28"/>
  <c r="V40" i="28"/>
  <c r="U40" i="28"/>
  <c r="O40" i="28"/>
  <c r="N40" i="28"/>
  <c r="M40" i="28"/>
  <c r="AE40" i="28" s="1"/>
  <c r="K40" i="28"/>
  <c r="G40" i="28"/>
  <c r="V39" i="28"/>
  <c r="U39" i="28"/>
  <c r="O39" i="28"/>
  <c r="M39" i="28"/>
  <c r="K39" i="28"/>
  <c r="G39" i="28"/>
  <c r="X38" i="28"/>
  <c r="W38" i="28"/>
  <c r="V38" i="28"/>
  <c r="U38" i="28"/>
  <c r="O38" i="28"/>
  <c r="M38" i="28"/>
  <c r="AF38" i="28" s="1"/>
  <c r="K38" i="28"/>
  <c r="G38" i="28"/>
  <c r="V37" i="28"/>
  <c r="M37" i="28" s="1"/>
  <c r="N37" i="28" s="1"/>
  <c r="U37" i="28"/>
  <c r="O37" i="28"/>
  <c r="K37" i="28"/>
  <c r="G37" i="28"/>
  <c r="V36" i="28"/>
  <c r="U36" i="28"/>
  <c r="O36" i="28"/>
  <c r="M36" i="28"/>
  <c r="AF36" i="28" s="1"/>
  <c r="K36" i="28"/>
  <c r="G36" i="28"/>
  <c r="V35" i="28"/>
  <c r="M35" i="28" s="1"/>
  <c r="U35" i="28"/>
  <c r="O35" i="28"/>
  <c r="K35" i="28"/>
  <c r="G35" i="28"/>
  <c r="X34" i="28"/>
  <c r="W34" i="28"/>
  <c r="V34" i="28"/>
  <c r="O34" i="28"/>
  <c r="M34" i="28"/>
  <c r="K34" i="28"/>
  <c r="G34" i="28"/>
  <c r="AD33" i="28"/>
  <c r="K21" i="27" s="1"/>
  <c r="Z33" i="28"/>
  <c r="Y33" i="28"/>
  <c r="O33" i="28"/>
  <c r="K33" i="28"/>
  <c r="K13" i="27" s="1"/>
  <c r="V32" i="28"/>
  <c r="M32" i="28" s="1"/>
  <c r="U32" i="28"/>
  <c r="O32" i="28"/>
  <c r="K32" i="28"/>
  <c r="G32" i="28"/>
  <c r="V31" i="28"/>
  <c r="U31" i="28"/>
  <c r="O31" i="28"/>
  <c r="M31" i="28"/>
  <c r="AF31" i="28" s="1"/>
  <c r="K31" i="28"/>
  <c r="G31" i="28"/>
  <c r="X30" i="28"/>
  <c r="W30" i="28"/>
  <c r="V30" i="28"/>
  <c r="M30" i="28" s="1"/>
  <c r="N30" i="28" s="1"/>
  <c r="U30" i="28"/>
  <c r="O30" i="28"/>
  <c r="K30" i="28"/>
  <c r="G30" i="28"/>
  <c r="V29" i="28"/>
  <c r="M29" i="28" s="1"/>
  <c r="N29" i="28" s="1"/>
  <c r="U29" i="28"/>
  <c r="O29" i="28"/>
  <c r="K29" i="28"/>
  <c r="G29" i="28"/>
  <c r="V28" i="28"/>
  <c r="M28" i="28" s="1"/>
  <c r="U28" i="28"/>
  <c r="O28" i="28"/>
  <c r="K28" i="28"/>
  <c r="G28" i="28"/>
  <c r="V27" i="28"/>
  <c r="M27" i="28" s="1"/>
  <c r="U27" i="28"/>
  <c r="O27" i="28"/>
  <c r="K27" i="28"/>
  <c r="G27" i="28"/>
  <c r="V26" i="28"/>
  <c r="M26" i="28" s="1"/>
  <c r="U26" i="28"/>
  <c r="O26" i="28"/>
  <c r="K26" i="28"/>
  <c r="G26" i="28"/>
  <c r="X25" i="28"/>
  <c r="W25" i="28"/>
  <c r="V25" i="28"/>
  <c r="M25" i="28" s="1"/>
  <c r="O25" i="28"/>
  <c r="K25" i="28"/>
  <c r="G25" i="28"/>
  <c r="AD24" i="28"/>
  <c r="Z24" i="28"/>
  <c r="G19" i="27" s="1"/>
  <c r="Y24" i="28"/>
  <c r="G18" i="27" s="1"/>
  <c r="O24" i="28"/>
  <c r="K24" i="28"/>
  <c r="G13" i="27" s="1"/>
  <c r="V23" i="28"/>
  <c r="M23" i="28" s="1"/>
  <c r="U23" i="28"/>
  <c r="O23" i="28"/>
  <c r="K23" i="28"/>
  <c r="G23" i="28"/>
  <c r="V22" i="28"/>
  <c r="U22" i="28"/>
  <c r="O22" i="28"/>
  <c r="M22" i="28"/>
  <c r="N22" i="28" s="1"/>
  <c r="K22" i="28"/>
  <c r="G22" i="28"/>
  <c r="V21" i="28"/>
  <c r="M21" i="28" s="1"/>
  <c r="U21" i="28"/>
  <c r="O21" i="28"/>
  <c r="K21" i="28"/>
  <c r="G21" i="28"/>
  <c r="V20" i="28"/>
  <c r="M20" i="28" s="1"/>
  <c r="U20" i="28"/>
  <c r="O20" i="28"/>
  <c r="K20" i="28"/>
  <c r="G20" i="28"/>
  <c r="V19" i="28"/>
  <c r="M19" i="28" s="1"/>
  <c r="AF19" i="28" s="1"/>
  <c r="O19" i="28"/>
  <c r="K19" i="28"/>
  <c r="G19" i="28"/>
  <c r="AD18" i="28"/>
  <c r="Z18" i="28"/>
  <c r="Y18" i="28"/>
  <c r="F18" i="27" s="1"/>
  <c r="O18" i="28"/>
  <c r="K18" i="28"/>
  <c r="V17" i="28"/>
  <c r="U17" i="28"/>
  <c r="O17" i="28"/>
  <c r="M17" i="28"/>
  <c r="AF17" i="28" s="1"/>
  <c r="K17" i="28"/>
  <c r="G17" i="28"/>
  <c r="V16" i="28"/>
  <c r="M16" i="28" s="1"/>
  <c r="N16" i="28" s="1"/>
  <c r="P16" i="28" s="1"/>
  <c r="U16" i="28"/>
  <c r="O16" i="28"/>
  <c r="K16" i="28"/>
  <c r="G16" i="28"/>
  <c r="V15" i="28"/>
  <c r="M15" i="28" s="1"/>
  <c r="AF15" i="28" s="1"/>
  <c r="U15" i="28"/>
  <c r="O15" i="28"/>
  <c r="K15" i="28"/>
  <c r="G15" i="28"/>
  <c r="V14" i="28"/>
  <c r="M14" i="28" s="1"/>
  <c r="O14" i="28"/>
  <c r="K14" i="28"/>
  <c r="G14" i="28"/>
  <c r="AD13" i="28"/>
  <c r="Z13" i="28"/>
  <c r="Y13" i="28"/>
  <c r="E18" i="27" s="1"/>
  <c r="O13" i="28"/>
  <c r="K13" i="28"/>
  <c r="V12" i="28"/>
  <c r="M12" i="28" s="1"/>
  <c r="U12" i="28"/>
  <c r="O12" i="28"/>
  <c r="K12" i="28"/>
  <c r="G12" i="28"/>
  <c r="V11" i="28"/>
  <c r="M11" i="28" s="1"/>
  <c r="O11" i="28"/>
  <c r="K11" i="28"/>
  <c r="G11" i="28"/>
  <c r="AD10" i="28"/>
  <c r="Z10" i="28"/>
  <c r="Y10" i="28"/>
  <c r="O10" i="28"/>
  <c r="K10" i="28"/>
  <c r="V9" i="28"/>
  <c r="M9" i="28" s="1"/>
  <c r="N9" i="28" s="1"/>
  <c r="U9" i="28"/>
  <c r="O9" i="28"/>
  <c r="K9" i="28"/>
  <c r="P9" i="28" s="1"/>
  <c r="G9" i="28"/>
  <c r="V8" i="28"/>
  <c r="M8" i="28" s="1"/>
  <c r="AF8" i="28" s="1"/>
  <c r="U8" i="28"/>
  <c r="O8" i="28"/>
  <c r="K8" i="28"/>
  <c r="G8" i="28"/>
  <c r="AE7" i="28"/>
  <c r="V7" i="28"/>
  <c r="U7" i="28"/>
  <c r="O7" i="28"/>
  <c r="M7" i="28"/>
  <c r="AF7" i="28" s="1"/>
  <c r="K7" i="28"/>
  <c r="G7" i="28"/>
  <c r="V6" i="28"/>
  <c r="U6" i="28"/>
  <c r="O6" i="28"/>
  <c r="M6" i="28"/>
  <c r="K6" i="28"/>
  <c r="G6" i="28"/>
  <c r="V5" i="28"/>
  <c r="M5" i="28" s="1"/>
  <c r="O5" i="28"/>
  <c r="K5" i="28"/>
  <c r="G5" i="28"/>
  <c r="D1" i="28"/>
  <c r="F3" i="27" s="1"/>
  <c r="M22" i="27"/>
  <c r="L22" i="27"/>
  <c r="K22" i="27"/>
  <c r="J22" i="27"/>
  <c r="I22" i="27"/>
  <c r="H22" i="27"/>
  <c r="G22" i="27"/>
  <c r="F22" i="27"/>
  <c r="E22" i="27"/>
  <c r="D22" i="27"/>
  <c r="M21" i="27"/>
  <c r="L21" i="27"/>
  <c r="I21" i="27"/>
  <c r="H21" i="27"/>
  <c r="G21" i="27"/>
  <c r="E21" i="27"/>
  <c r="D21" i="27"/>
  <c r="M20" i="27"/>
  <c r="L20" i="27"/>
  <c r="K20" i="27"/>
  <c r="J20" i="27"/>
  <c r="I20" i="27"/>
  <c r="H20" i="27"/>
  <c r="G20" i="27"/>
  <c r="F20" i="27"/>
  <c r="E20" i="27"/>
  <c r="D20" i="27"/>
  <c r="M19" i="27"/>
  <c r="K19" i="27"/>
  <c r="I19" i="27"/>
  <c r="H19" i="27"/>
  <c r="F19" i="27"/>
  <c r="E19" i="27"/>
  <c r="D19" i="27"/>
  <c r="M18" i="27"/>
  <c r="L18" i="27"/>
  <c r="K18" i="27"/>
  <c r="D18" i="27"/>
  <c r="M17" i="27"/>
  <c r="L17" i="27"/>
  <c r="K17" i="27"/>
  <c r="J17" i="27"/>
  <c r="I17" i="27"/>
  <c r="H17" i="27"/>
  <c r="G17" i="27"/>
  <c r="F17" i="27"/>
  <c r="E17" i="27"/>
  <c r="D17" i="27"/>
  <c r="M16" i="27"/>
  <c r="L16" i="27"/>
  <c r="K16" i="27"/>
  <c r="J16" i="27"/>
  <c r="I16" i="27"/>
  <c r="H16" i="27"/>
  <c r="G16" i="27"/>
  <c r="F16" i="27"/>
  <c r="E16" i="27"/>
  <c r="D16" i="27"/>
  <c r="J13" i="27"/>
  <c r="I13" i="27"/>
  <c r="H13" i="27"/>
  <c r="F13" i="27"/>
  <c r="E13" i="27"/>
  <c r="D13" i="27"/>
  <c r="M6" i="27"/>
  <c r="C3" i="27"/>
  <c r="N28" i="28" l="1"/>
  <c r="Q28" i="28" s="1"/>
  <c r="AF28" i="28"/>
  <c r="AE28" i="28"/>
  <c r="AE5" i="28"/>
  <c r="N5" i="28"/>
  <c r="Q5" i="28" s="1"/>
  <c r="AF5" i="28"/>
  <c r="AF21" i="28"/>
  <c r="AE21" i="28"/>
  <c r="N21" i="28"/>
  <c r="Q21" i="28" s="1"/>
  <c r="AF26" i="28"/>
  <c r="AE26" i="28"/>
  <c r="N26" i="28"/>
  <c r="Q26" i="28" s="1"/>
  <c r="AF51" i="28"/>
  <c r="AE51" i="28"/>
  <c r="N51" i="28"/>
  <c r="Q51" i="28" s="1"/>
  <c r="AF49" i="28"/>
  <c r="AE49" i="28"/>
  <c r="N49" i="28"/>
  <c r="Q49" i="28" s="1"/>
  <c r="AF14" i="28"/>
  <c r="AE14" i="28"/>
  <c r="N14" i="28"/>
  <c r="Q14" i="28" s="1"/>
  <c r="AF12" i="28"/>
  <c r="AE12" i="28"/>
  <c r="N12" i="28"/>
  <c r="Q12" i="28" s="1"/>
  <c r="AD2" i="28"/>
  <c r="N6" i="27" s="1"/>
  <c r="AE56" i="28"/>
  <c r="AE65" i="28"/>
  <c r="AF56" i="28"/>
  <c r="AF65" i="28"/>
  <c r="P44" i="28"/>
  <c r="AE44" i="28"/>
  <c r="Q9" i="28"/>
  <c r="N60" i="28"/>
  <c r="Q60" i="28" s="1"/>
  <c r="N7" i="28"/>
  <c r="Q7" i="28" s="1"/>
  <c r="N42" i="28"/>
  <c r="Q42" i="28" s="1"/>
  <c r="N58" i="28"/>
  <c r="Q58" i="28" s="1"/>
  <c r="Q67" i="28"/>
  <c r="Q40" i="28"/>
  <c r="P37" i="28"/>
  <c r="AE67" i="28"/>
  <c r="AF37" i="28"/>
  <c r="F1" i="28"/>
  <c r="I3" i="27" s="1"/>
  <c r="Q24" i="32"/>
  <c r="R19" i="32" s="1"/>
  <c r="P24" i="32"/>
  <c r="G14" i="31"/>
  <c r="G15" i="31" s="1"/>
  <c r="Q46" i="32"/>
  <c r="R38" i="32" s="1"/>
  <c r="P46" i="32"/>
  <c r="H14" i="31"/>
  <c r="H15" i="31" s="1"/>
  <c r="M14" i="31"/>
  <c r="M15" i="31" s="1"/>
  <c r="Q66" i="32"/>
  <c r="R61" i="32" s="1"/>
  <c r="P66" i="32"/>
  <c r="Q60" i="32"/>
  <c r="R56" i="32" s="1"/>
  <c r="P60" i="32"/>
  <c r="J14" i="31"/>
  <c r="J15" i="31" s="1"/>
  <c r="K14" i="31"/>
  <c r="Q30" i="32"/>
  <c r="R25" i="32" s="1"/>
  <c r="P30" i="32"/>
  <c r="Q10" i="32"/>
  <c r="R5" i="32" s="1"/>
  <c r="D14" i="31"/>
  <c r="P10" i="32"/>
  <c r="D2" i="32"/>
  <c r="H14" i="29"/>
  <c r="H15" i="29" s="1"/>
  <c r="Q46" i="30"/>
  <c r="R38" i="30" s="1"/>
  <c r="P46" i="30"/>
  <c r="Q16" i="30"/>
  <c r="P16" i="30"/>
  <c r="I14" i="29"/>
  <c r="I15" i="29" s="1"/>
  <c r="Q55" i="30"/>
  <c r="R47" i="30" s="1"/>
  <c r="P55" i="30"/>
  <c r="Q44" i="30"/>
  <c r="P44" i="30"/>
  <c r="P7" i="30"/>
  <c r="Q7" i="30"/>
  <c r="Q53" i="30"/>
  <c r="P53" i="30"/>
  <c r="Q25" i="30"/>
  <c r="P25" i="30"/>
  <c r="F14" i="29"/>
  <c r="F15" i="29" s="1"/>
  <c r="P18" i="30"/>
  <c r="Q18" i="30"/>
  <c r="R14" i="30" s="1"/>
  <c r="P51" i="30"/>
  <c r="Q51" i="30"/>
  <c r="Q59" i="30"/>
  <c r="P59" i="30"/>
  <c r="Q50" i="30"/>
  <c r="P50" i="30"/>
  <c r="Q29" i="30"/>
  <c r="P29" i="30"/>
  <c r="Q22" i="30"/>
  <c r="P22" i="30"/>
  <c r="Q64" i="30"/>
  <c r="P64" i="30"/>
  <c r="Q63" i="30"/>
  <c r="P63" i="30"/>
  <c r="AF66" i="30"/>
  <c r="AG61" i="30" s="1"/>
  <c r="AE66" i="30"/>
  <c r="N66" i="30"/>
  <c r="M14" i="29" s="1"/>
  <c r="M15" i="29" s="1"/>
  <c r="Q57" i="30"/>
  <c r="P57" i="30"/>
  <c r="AF60" i="30"/>
  <c r="AG56" i="30" s="1"/>
  <c r="N60" i="30"/>
  <c r="Q56" i="30"/>
  <c r="P56" i="30"/>
  <c r="Q54" i="30"/>
  <c r="P54" i="30"/>
  <c r="Q48" i="30"/>
  <c r="P48" i="30"/>
  <c r="AF55" i="30"/>
  <c r="AG47" i="30" s="1"/>
  <c r="AE55" i="30"/>
  <c r="Q47" i="30"/>
  <c r="P47" i="30"/>
  <c r="Q45" i="30"/>
  <c r="P45" i="30"/>
  <c r="Q41" i="30"/>
  <c r="P41" i="30"/>
  <c r="Q40" i="30"/>
  <c r="P40" i="30"/>
  <c r="AF46" i="30"/>
  <c r="AG38" i="30" s="1"/>
  <c r="AE46" i="30"/>
  <c r="Q38" i="30"/>
  <c r="P38" i="30"/>
  <c r="Q35" i="30"/>
  <c r="P35" i="30"/>
  <c r="Q34" i="30"/>
  <c r="P34" i="30"/>
  <c r="Q33" i="30"/>
  <c r="P33" i="30"/>
  <c r="AF37" i="30"/>
  <c r="AG31" i="30" s="1"/>
  <c r="N37" i="30"/>
  <c r="AE37" i="30"/>
  <c r="Q27" i="30"/>
  <c r="P27" i="30"/>
  <c r="Q26" i="30"/>
  <c r="P26" i="30"/>
  <c r="AF30" i="30"/>
  <c r="AG25" i="30" s="1"/>
  <c r="N30" i="30"/>
  <c r="K14" i="29" s="1"/>
  <c r="Q20" i="30"/>
  <c r="P20" i="30"/>
  <c r="N24" i="30"/>
  <c r="AF24" i="30"/>
  <c r="AG19" i="30" s="1"/>
  <c r="AE24" i="30"/>
  <c r="Q19" i="30"/>
  <c r="P19" i="30"/>
  <c r="Q17" i="30"/>
  <c r="P17" i="30"/>
  <c r="Q14" i="30"/>
  <c r="P14" i="30"/>
  <c r="AF18" i="30"/>
  <c r="AG14" i="30" s="1"/>
  <c r="AE18" i="30"/>
  <c r="Q13" i="30"/>
  <c r="R11" i="30" s="1"/>
  <c r="P13" i="30"/>
  <c r="E14" i="29"/>
  <c r="E15" i="29" s="1"/>
  <c r="Q8" i="30"/>
  <c r="P8" i="30"/>
  <c r="P6" i="30"/>
  <c r="Q6" i="30"/>
  <c r="Q5" i="30"/>
  <c r="P5" i="30"/>
  <c r="N10" i="30"/>
  <c r="AF10" i="30"/>
  <c r="AG5" i="30" s="1"/>
  <c r="AE10" i="30"/>
  <c r="F2" i="28"/>
  <c r="Q48" i="28"/>
  <c r="P48" i="28"/>
  <c r="P22" i="28"/>
  <c r="Q22" i="28"/>
  <c r="Q57" i="28"/>
  <c r="P57" i="28"/>
  <c r="N62" i="28"/>
  <c r="AF62" i="28"/>
  <c r="AE62" i="28"/>
  <c r="AF20" i="28"/>
  <c r="AE20" i="28"/>
  <c r="N20" i="28"/>
  <c r="AF6" i="28"/>
  <c r="AE6" i="28"/>
  <c r="M10" i="28"/>
  <c r="N23" i="28"/>
  <c r="AF23" i="28"/>
  <c r="AE23" i="28"/>
  <c r="AF29" i="28"/>
  <c r="AE29" i="28"/>
  <c r="M64" i="28"/>
  <c r="AE11" i="28"/>
  <c r="AF11" i="28"/>
  <c r="M13" i="28"/>
  <c r="N35" i="28"/>
  <c r="AF35" i="28"/>
  <c r="AE35" i="28"/>
  <c r="N32" i="28"/>
  <c r="AF32" i="28"/>
  <c r="AE32" i="28"/>
  <c r="I6" i="27"/>
  <c r="AE9" i="28"/>
  <c r="Q44" i="28"/>
  <c r="M50" i="28"/>
  <c r="AE69" i="28"/>
  <c r="AF69" i="28"/>
  <c r="N69" i="28"/>
  <c r="AF9" i="28"/>
  <c r="AF27" i="28"/>
  <c r="AE27" i="28"/>
  <c r="N27" i="28"/>
  <c r="AE39" i="28"/>
  <c r="AF39" i="28"/>
  <c r="N39" i="28"/>
  <c r="AF44" i="28"/>
  <c r="AF25" i="28"/>
  <c r="AE25" i="28"/>
  <c r="N25" i="28"/>
  <c r="M33" i="28"/>
  <c r="N6" i="28"/>
  <c r="Q30" i="28"/>
  <c r="P30" i="28"/>
  <c r="F21" i="27"/>
  <c r="Q16" i="28"/>
  <c r="AE30" i="28"/>
  <c r="AE34" i="28"/>
  <c r="AF34" i="28"/>
  <c r="M41" i="28"/>
  <c r="N34" i="28"/>
  <c r="N53" i="28"/>
  <c r="AF53" i="28"/>
  <c r="AE53" i="28"/>
  <c r="M59" i="28"/>
  <c r="Z2" i="28"/>
  <c r="L6" i="27" s="1"/>
  <c r="AF30" i="28"/>
  <c r="Q37" i="28"/>
  <c r="G6" i="27"/>
  <c r="F6" i="27"/>
  <c r="E6" i="27"/>
  <c r="P29" i="28"/>
  <c r="Q29" i="28"/>
  <c r="N46" i="28"/>
  <c r="AF46" i="28"/>
  <c r="AE46" i="28"/>
  <c r="AE55" i="28"/>
  <c r="AF55" i="28"/>
  <c r="N55" i="28"/>
  <c r="AE57" i="28"/>
  <c r="AF57" i="28"/>
  <c r="M24" i="28"/>
  <c r="AF22" i="28"/>
  <c r="AE22" i="28"/>
  <c r="N11" i="28"/>
  <c r="AE16" i="28"/>
  <c r="AE48" i="28"/>
  <c r="AF48" i="28"/>
  <c r="AF16" i="28"/>
  <c r="AE37" i="28"/>
  <c r="N17" i="28"/>
  <c r="N31" i="28"/>
  <c r="N38" i="28"/>
  <c r="N45" i="28"/>
  <c r="N52" i="28"/>
  <c r="N61" i="28"/>
  <c r="N68" i="28"/>
  <c r="Y2" i="28"/>
  <c r="K6" i="27" s="1"/>
  <c r="N8" i="28"/>
  <c r="N19" i="28"/>
  <c r="N47" i="28"/>
  <c r="N54" i="28"/>
  <c r="N63" i="28"/>
  <c r="M70" i="28"/>
  <c r="AE8" i="28"/>
  <c r="P26" i="28"/>
  <c r="AF66" i="28"/>
  <c r="P12" i="28"/>
  <c r="AE17" i="28"/>
  <c r="AE31" i="28"/>
  <c r="P40" i="28"/>
  <c r="AE45" i="28"/>
  <c r="AE52" i="28"/>
  <c r="P56" i="28"/>
  <c r="AE61" i="28"/>
  <c r="P65" i="28"/>
  <c r="P5" i="28"/>
  <c r="P21" i="28"/>
  <c r="P28" i="28"/>
  <c r="P14" i="28"/>
  <c r="AE19" i="28"/>
  <c r="AE38" i="28"/>
  <c r="P49" i="28"/>
  <c r="AE54" i="28"/>
  <c r="P58" i="28"/>
  <c r="AE63" i="28"/>
  <c r="AE68" i="28"/>
  <c r="M18" i="28"/>
  <c r="N15" i="28"/>
  <c r="N36" i="28"/>
  <c r="N43" i="28"/>
  <c r="N66" i="28"/>
  <c r="AE15" i="28"/>
  <c r="AE36" i="28"/>
  <c r="AE43" i="28"/>
  <c r="P7" i="28"/>
  <c r="AE47" i="28"/>
  <c r="P51" i="28"/>
  <c r="P60" i="28"/>
  <c r="AD73" i="26"/>
  <c r="AC73" i="26"/>
  <c r="Z73" i="26"/>
  <c r="Y73" i="26"/>
  <c r="O73" i="26"/>
  <c r="K73" i="26"/>
  <c r="V72" i="26"/>
  <c r="M72" i="26" s="1"/>
  <c r="U72" i="26"/>
  <c r="O72" i="26"/>
  <c r="K72" i="26"/>
  <c r="G72" i="26"/>
  <c r="V71" i="26"/>
  <c r="M71" i="26" s="1"/>
  <c r="U71" i="26"/>
  <c r="O71" i="26"/>
  <c r="K71" i="26"/>
  <c r="G71" i="26"/>
  <c r="X70" i="26"/>
  <c r="W70" i="26"/>
  <c r="V70" i="26"/>
  <c r="M70" i="26" s="1"/>
  <c r="U70" i="26"/>
  <c r="O70" i="26"/>
  <c r="K70" i="26"/>
  <c r="G70" i="26"/>
  <c r="V69" i="26"/>
  <c r="M69" i="26" s="1"/>
  <c r="U69" i="26"/>
  <c r="O69" i="26"/>
  <c r="K69" i="26"/>
  <c r="G69" i="26"/>
  <c r="AF68" i="26"/>
  <c r="AE68" i="26"/>
  <c r="V68" i="26"/>
  <c r="U68" i="26"/>
  <c r="O68" i="26"/>
  <c r="M68" i="26"/>
  <c r="N68" i="26" s="1"/>
  <c r="K68" i="26"/>
  <c r="G68" i="26"/>
  <c r="X67" i="26"/>
  <c r="W67" i="26"/>
  <c r="V67" i="26"/>
  <c r="M67" i="26" s="1"/>
  <c r="O67" i="26"/>
  <c r="K67" i="26"/>
  <c r="G67" i="26"/>
  <c r="AD66" i="26"/>
  <c r="AC66" i="26"/>
  <c r="Z66" i="26"/>
  <c r="Y66" i="26"/>
  <c r="O66" i="26"/>
  <c r="K66" i="26"/>
  <c r="V65" i="26"/>
  <c r="M65" i="26" s="1"/>
  <c r="U65" i="26"/>
  <c r="O65" i="26"/>
  <c r="K65" i="26"/>
  <c r="G65" i="26"/>
  <c r="V64" i="26"/>
  <c r="U64" i="26"/>
  <c r="O64" i="26"/>
  <c r="M64" i="26"/>
  <c r="N64" i="26" s="1"/>
  <c r="K64" i="26"/>
  <c r="G64" i="26"/>
  <c r="V63" i="26"/>
  <c r="M63" i="26" s="1"/>
  <c r="U63" i="26"/>
  <c r="O63" i="26"/>
  <c r="K63" i="26"/>
  <c r="G63" i="26"/>
  <c r="V62" i="26"/>
  <c r="M62" i="26" s="1"/>
  <c r="O62" i="26"/>
  <c r="K62" i="26"/>
  <c r="G62" i="26"/>
  <c r="AD61" i="26"/>
  <c r="AC61" i="26"/>
  <c r="Z61" i="26"/>
  <c r="Y61" i="26"/>
  <c r="O61" i="26"/>
  <c r="K61" i="26"/>
  <c r="V60" i="26"/>
  <c r="M60" i="26" s="1"/>
  <c r="U60" i="26"/>
  <c r="O60" i="26"/>
  <c r="K60" i="26"/>
  <c r="G60" i="26"/>
  <c r="V59" i="26"/>
  <c r="M59" i="26" s="1"/>
  <c r="U59" i="26"/>
  <c r="O59" i="26"/>
  <c r="K59" i="26"/>
  <c r="G59" i="26"/>
  <c r="V58" i="26"/>
  <c r="M58" i="26" s="1"/>
  <c r="N58" i="26" s="1"/>
  <c r="U58" i="26"/>
  <c r="O58" i="26"/>
  <c r="K58" i="26"/>
  <c r="G58" i="26"/>
  <c r="V57" i="26"/>
  <c r="M57" i="26" s="1"/>
  <c r="U57" i="26"/>
  <c r="O57" i="26"/>
  <c r="K57" i="26"/>
  <c r="G57" i="26"/>
  <c r="V56" i="26"/>
  <c r="M56" i="26" s="1"/>
  <c r="U56" i="26"/>
  <c r="O56" i="26"/>
  <c r="K56" i="26"/>
  <c r="G56" i="26"/>
  <c r="V55" i="26"/>
  <c r="M55" i="26" s="1"/>
  <c r="U55" i="26"/>
  <c r="O55" i="26"/>
  <c r="K55" i="26"/>
  <c r="G55" i="26"/>
  <c r="V54" i="26"/>
  <c r="U54" i="26"/>
  <c r="O54" i="26"/>
  <c r="M54" i="26"/>
  <c r="AF54" i="26" s="1"/>
  <c r="K54" i="26"/>
  <c r="G54" i="26"/>
  <c r="V53" i="26"/>
  <c r="M53" i="26" s="1"/>
  <c r="AF53" i="26" s="1"/>
  <c r="O53" i="26"/>
  <c r="K53" i="26"/>
  <c r="G53" i="26"/>
  <c r="AD52" i="26"/>
  <c r="H21" i="25" s="1"/>
  <c r="AC52" i="26"/>
  <c r="Z52" i="26"/>
  <c r="Y52" i="26"/>
  <c r="H18" i="25" s="1"/>
  <c r="O52" i="26"/>
  <c r="K52" i="26"/>
  <c r="V51" i="26"/>
  <c r="M51" i="26" s="1"/>
  <c r="AF51" i="26" s="1"/>
  <c r="U51" i="26"/>
  <c r="O51" i="26"/>
  <c r="K51" i="26"/>
  <c r="G51" i="26"/>
  <c r="V50" i="26"/>
  <c r="M50" i="26" s="1"/>
  <c r="AF50" i="26" s="1"/>
  <c r="U50" i="26"/>
  <c r="O50" i="26"/>
  <c r="K50" i="26"/>
  <c r="G50" i="26"/>
  <c r="V49" i="26"/>
  <c r="M49" i="26" s="1"/>
  <c r="U49" i="26"/>
  <c r="O49" i="26"/>
  <c r="K49" i="26"/>
  <c r="G49" i="26"/>
  <c r="X48" i="26"/>
  <c r="W48" i="26"/>
  <c r="V48" i="26"/>
  <c r="U48" i="26"/>
  <c r="O48" i="26"/>
  <c r="M48" i="26"/>
  <c r="N48" i="26" s="1"/>
  <c r="K48" i="26"/>
  <c r="G48" i="26"/>
  <c r="V47" i="26"/>
  <c r="M47" i="26" s="1"/>
  <c r="U47" i="26"/>
  <c r="O47" i="26"/>
  <c r="K47" i="26"/>
  <c r="G47" i="26"/>
  <c r="V46" i="26"/>
  <c r="M46" i="26" s="1"/>
  <c r="U46" i="26"/>
  <c r="O46" i="26"/>
  <c r="K46" i="26"/>
  <c r="G46" i="26"/>
  <c r="V45" i="26"/>
  <c r="M45" i="26" s="1"/>
  <c r="U45" i="26"/>
  <c r="O45" i="26"/>
  <c r="K45" i="26"/>
  <c r="G45" i="26"/>
  <c r="V44" i="26"/>
  <c r="M44" i="26" s="1"/>
  <c r="U44" i="26"/>
  <c r="O44" i="26"/>
  <c r="K44" i="26"/>
  <c r="G44" i="26"/>
  <c r="V43" i="26"/>
  <c r="M43" i="26" s="1"/>
  <c r="O43" i="26"/>
  <c r="K43" i="26"/>
  <c r="G43" i="26"/>
  <c r="AD42" i="26"/>
  <c r="AC42" i="26"/>
  <c r="L20" i="25" s="1"/>
  <c r="Z42" i="26"/>
  <c r="Y42" i="26"/>
  <c r="O42" i="26"/>
  <c r="K42" i="26"/>
  <c r="V41" i="26"/>
  <c r="M41" i="26" s="1"/>
  <c r="U41" i="26"/>
  <c r="O41" i="26"/>
  <c r="K41" i="26"/>
  <c r="G41" i="26"/>
  <c r="V40" i="26"/>
  <c r="M40" i="26" s="1"/>
  <c r="U40" i="26"/>
  <c r="O40" i="26"/>
  <c r="K40" i="26"/>
  <c r="G40" i="26"/>
  <c r="V39" i="26"/>
  <c r="M39" i="26" s="1"/>
  <c r="U39" i="26"/>
  <c r="O39" i="26"/>
  <c r="K39" i="26"/>
  <c r="G39" i="26"/>
  <c r="X38" i="26"/>
  <c r="W38" i="26"/>
  <c r="V38" i="26"/>
  <c r="M38" i="26" s="1"/>
  <c r="U38" i="26"/>
  <c r="O38" i="26"/>
  <c r="K38" i="26"/>
  <c r="G38" i="26"/>
  <c r="V37" i="26"/>
  <c r="M37" i="26" s="1"/>
  <c r="U37" i="26"/>
  <c r="O37" i="26"/>
  <c r="K37" i="26"/>
  <c r="G37" i="26"/>
  <c r="V36" i="26"/>
  <c r="M36" i="26" s="1"/>
  <c r="U36" i="26"/>
  <c r="O36" i="26"/>
  <c r="K36" i="26"/>
  <c r="G36" i="26"/>
  <c r="V35" i="26"/>
  <c r="U35" i="26"/>
  <c r="O35" i="26"/>
  <c r="N35" i="26"/>
  <c r="Q35" i="26" s="1"/>
  <c r="M35" i="26"/>
  <c r="AF35" i="26" s="1"/>
  <c r="K35" i="26"/>
  <c r="G35" i="26"/>
  <c r="X34" i="26"/>
  <c r="W34" i="26"/>
  <c r="V34" i="26"/>
  <c r="M34" i="26" s="1"/>
  <c r="O34" i="26"/>
  <c r="K34" i="26"/>
  <c r="G34" i="26"/>
  <c r="AD33" i="26"/>
  <c r="AC33" i="26"/>
  <c r="Z33" i="26"/>
  <c r="Y33" i="26"/>
  <c r="K18" i="25" s="1"/>
  <c r="O33" i="26"/>
  <c r="K33" i="26"/>
  <c r="V32" i="26"/>
  <c r="M32" i="26" s="1"/>
  <c r="U32" i="26"/>
  <c r="O32" i="26"/>
  <c r="K32" i="26"/>
  <c r="G32" i="26"/>
  <c r="V31" i="26"/>
  <c r="U31" i="26"/>
  <c r="O31" i="26"/>
  <c r="M31" i="26"/>
  <c r="AF31" i="26" s="1"/>
  <c r="K31" i="26"/>
  <c r="G31" i="26"/>
  <c r="X30" i="26"/>
  <c r="W30" i="26"/>
  <c r="V30" i="26"/>
  <c r="M30" i="26" s="1"/>
  <c r="U30" i="26"/>
  <c r="O30" i="26"/>
  <c r="K30" i="26"/>
  <c r="G30" i="26"/>
  <c r="V29" i="26"/>
  <c r="M29" i="26" s="1"/>
  <c r="U29" i="26"/>
  <c r="O29" i="26"/>
  <c r="K29" i="26"/>
  <c r="G29" i="26"/>
  <c r="V28" i="26"/>
  <c r="U28" i="26"/>
  <c r="O28" i="26"/>
  <c r="M28" i="26"/>
  <c r="AF28" i="26" s="1"/>
  <c r="K28" i="26"/>
  <c r="G28" i="26"/>
  <c r="V27" i="26"/>
  <c r="M27" i="26" s="1"/>
  <c r="AF27" i="26" s="1"/>
  <c r="U27" i="26"/>
  <c r="O27" i="26"/>
  <c r="K27" i="26"/>
  <c r="G27" i="26"/>
  <c r="V26" i="26"/>
  <c r="U26" i="26"/>
  <c r="O26" i="26"/>
  <c r="M26" i="26"/>
  <c r="AF26" i="26" s="1"/>
  <c r="K26" i="26"/>
  <c r="G26" i="26"/>
  <c r="X25" i="26"/>
  <c r="W25" i="26"/>
  <c r="V25" i="26"/>
  <c r="M25" i="26" s="1"/>
  <c r="AF25" i="26" s="1"/>
  <c r="O25" i="26"/>
  <c r="K25" i="26"/>
  <c r="G25" i="26"/>
  <c r="AD24" i="26"/>
  <c r="G21" i="25" s="1"/>
  <c r="AC24" i="26"/>
  <c r="Z24" i="26"/>
  <c r="Y24" i="26"/>
  <c r="O24" i="26"/>
  <c r="K24" i="26"/>
  <c r="V23" i="26"/>
  <c r="M23" i="26" s="1"/>
  <c r="AF23" i="26" s="1"/>
  <c r="U23" i="26"/>
  <c r="O23" i="26"/>
  <c r="K23" i="26"/>
  <c r="G23" i="26"/>
  <c r="V22" i="26"/>
  <c r="U22" i="26"/>
  <c r="O22" i="26"/>
  <c r="M22" i="26"/>
  <c r="AF22" i="26" s="1"/>
  <c r="K22" i="26"/>
  <c r="G22" i="26"/>
  <c r="AF21" i="26"/>
  <c r="V21" i="26"/>
  <c r="U21" i="26"/>
  <c r="O21" i="26"/>
  <c r="M21" i="26"/>
  <c r="AE21" i="26" s="1"/>
  <c r="K21" i="26"/>
  <c r="G21" i="26"/>
  <c r="V20" i="26"/>
  <c r="M20" i="26" s="1"/>
  <c r="U20" i="26"/>
  <c r="O20" i="26"/>
  <c r="K20" i="26"/>
  <c r="G20" i="26"/>
  <c r="V19" i="26"/>
  <c r="M19" i="26" s="1"/>
  <c r="O19" i="26"/>
  <c r="K19" i="26"/>
  <c r="G19" i="26"/>
  <c r="AD18" i="26"/>
  <c r="AC18" i="26"/>
  <c r="Z18" i="26"/>
  <c r="F19" i="25" s="1"/>
  <c r="Y18" i="26"/>
  <c r="O18" i="26"/>
  <c r="K18" i="26"/>
  <c r="V17" i="26"/>
  <c r="M17" i="26" s="1"/>
  <c r="U17" i="26"/>
  <c r="O17" i="26"/>
  <c r="K17" i="26"/>
  <c r="G17" i="26"/>
  <c r="V16" i="26"/>
  <c r="M16" i="26" s="1"/>
  <c r="U16" i="26"/>
  <c r="O16" i="26"/>
  <c r="K16" i="26"/>
  <c r="G16" i="26"/>
  <c r="V15" i="26"/>
  <c r="M15" i="26" s="1"/>
  <c r="U15" i="26"/>
  <c r="O15" i="26"/>
  <c r="K15" i="26"/>
  <c r="G15" i="26"/>
  <c r="V14" i="26"/>
  <c r="M14" i="26" s="1"/>
  <c r="O14" i="26"/>
  <c r="K14" i="26"/>
  <c r="G14" i="26"/>
  <c r="AD13" i="26"/>
  <c r="AC13" i="26"/>
  <c r="Z13" i="26"/>
  <c r="Y13" i="26"/>
  <c r="O13" i="26"/>
  <c r="K13" i="26"/>
  <c r="V12" i="26"/>
  <c r="M12" i="26" s="1"/>
  <c r="U12" i="26"/>
  <c r="O12" i="26"/>
  <c r="K12" i="26"/>
  <c r="G12" i="26"/>
  <c r="V11" i="26"/>
  <c r="M11" i="26" s="1"/>
  <c r="O11" i="26"/>
  <c r="K11" i="26"/>
  <c r="G11" i="26"/>
  <c r="AD10" i="26"/>
  <c r="AC10" i="26"/>
  <c r="Z10" i="26"/>
  <c r="Z2" i="26" s="1"/>
  <c r="L6" i="25" s="1"/>
  <c r="Y10" i="26"/>
  <c r="D18" i="25" s="1"/>
  <c r="O10" i="26"/>
  <c r="K10" i="26"/>
  <c r="V9" i="26"/>
  <c r="M9" i="26" s="1"/>
  <c r="U9" i="26"/>
  <c r="O9" i="26"/>
  <c r="K9" i="26"/>
  <c r="G9" i="26"/>
  <c r="V8" i="26"/>
  <c r="M8" i="26" s="1"/>
  <c r="U8" i="26"/>
  <c r="O8" i="26"/>
  <c r="K8" i="26"/>
  <c r="G8" i="26"/>
  <c r="V7" i="26"/>
  <c r="M7" i="26" s="1"/>
  <c r="U7" i="26"/>
  <c r="O7" i="26"/>
  <c r="K7" i="26"/>
  <c r="G7" i="26"/>
  <c r="V6" i="26"/>
  <c r="M6" i="26" s="1"/>
  <c r="AF6" i="26" s="1"/>
  <c r="U6" i="26"/>
  <c r="O6" i="26"/>
  <c r="K6" i="26"/>
  <c r="G6" i="26"/>
  <c r="V5" i="26"/>
  <c r="M5" i="26" s="1"/>
  <c r="AF5" i="26" s="1"/>
  <c r="O5" i="26"/>
  <c r="K5" i="26"/>
  <c r="G5" i="26"/>
  <c r="H2" i="26"/>
  <c r="H1" i="26"/>
  <c r="D1" i="26"/>
  <c r="M22" i="25"/>
  <c r="L22" i="25"/>
  <c r="K22" i="25"/>
  <c r="J22" i="25"/>
  <c r="I22" i="25"/>
  <c r="H22" i="25"/>
  <c r="G22" i="25"/>
  <c r="F22" i="25"/>
  <c r="E22" i="25"/>
  <c r="D22" i="25"/>
  <c r="M21" i="25"/>
  <c r="L21" i="25"/>
  <c r="K21" i="25"/>
  <c r="J21" i="25"/>
  <c r="I21" i="25"/>
  <c r="F21" i="25"/>
  <c r="E21" i="25"/>
  <c r="D21" i="25"/>
  <c r="M20" i="25"/>
  <c r="K20" i="25"/>
  <c r="J20" i="25"/>
  <c r="I20" i="25"/>
  <c r="H20" i="25"/>
  <c r="G20" i="25"/>
  <c r="F20" i="25"/>
  <c r="E20" i="25"/>
  <c r="D20" i="25"/>
  <c r="M19" i="25"/>
  <c r="L19" i="25"/>
  <c r="K19" i="25"/>
  <c r="J19" i="25"/>
  <c r="I19" i="25"/>
  <c r="H19" i="25"/>
  <c r="G19" i="25"/>
  <c r="E19" i="25"/>
  <c r="M18" i="25"/>
  <c r="L18" i="25"/>
  <c r="J18" i="25"/>
  <c r="I18" i="25"/>
  <c r="G18" i="25"/>
  <c r="F18" i="25"/>
  <c r="E18" i="25"/>
  <c r="M17" i="25"/>
  <c r="L17" i="25"/>
  <c r="K17" i="25"/>
  <c r="J17" i="25"/>
  <c r="I17" i="25"/>
  <c r="H17" i="25"/>
  <c r="G17" i="25"/>
  <c r="F17" i="25"/>
  <c r="E17" i="25"/>
  <c r="D17" i="25"/>
  <c r="M16" i="25"/>
  <c r="L16" i="25"/>
  <c r="K16" i="25"/>
  <c r="J16" i="25"/>
  <c r="I16" i="25"/>
  <c r="H16" i="25"/>
  <c r="G16" i="25"/>
  <c r="F16" i="25"/>
  <c r="E16" i="25"/>
  <c r="D16" i="25"/>
  <c r="M13" i="25"/>
  <c r="L13" i="25"/>
  <c r="K13" i="25"/>
  <c r="I6" i="25" s="1"/>
  <c r="J13" i="25"/>
  <c r="I13" i="25"/>
  <c r="H13" i="25"/>
  <c r="F6" i="25" s="1"/>
  <c r="G13" i="25"/>
  <c r="F13" i="25"/>
  <c r="E13" i="25"/>
  <c r="D13" i="25"/>
  <c r="F3" i="25"/>
  <c r="C3" i="25"/>
  <c r="AF19" i="26" l="1"/>
  <c r="AE19" i="26"/>
  <c r="N19" i="26"/>
  <c r="AF55" i="26"/>
  <c r="N55" i="26"/>
  <c r="Q55" i="26" s="1"/>
  <c r="AF7" i="26"/>
  <c r="N7" i="26"/>
  <c r="Q7" i="26" s="1"/>
  <c r="AF20" i="26"/>
  <c r="AE20" i="26"/>
  <c r="N20" i="26"/>
  <c r="AF29" i="26"/>
  <c r="N29" i="26"/>
  <c r="Q29" i="26" s="1"/>
  <c r="AE49" i="26"/>
  <c r="AF49" i="26"/>
  <c r="N46" i="26"/>
  <c r="AF46" i="26"/>
  <c r="AE46" i="26"/>
  <c r="N57" i="26"/>
  <c r="AE57" i="26"/>
  <c r="AE47" i="26"/>
  <c r="AF47" i="26"/>
  <c r="AD2" i="26"/>
  <c r="N6" i="25" s="1"/>
  <c r="AE64" i="26"/>
  <c r="D19" i="25"/>
  <c r="AF64" i="26"/>
  <c r="F1" i="26"/>
  <c r="F2" i="26" s="1"/>
  <c r="N31" i="26"/>
  <c r="Q31" i="26" s="1"/>
  <c r="AE48" i="26"/>
  <c r="AF48" i="26"/>
  <c r="P42" i="28"/>
  <c r="AC2" i="26"/>
  <c r="M6" i="25" s="1"/>
  <c r="G7" i="31"/>
  <c r="D15" i="31"/>
  <c r="F7" i="31"/>
  <c r="E7" i="31"/>
  <c r="K15" i="31"/>
  <c r="I8" i="31" s="1"/>
  <c r="I7" i="31"/>
  <c r="K15" i="29"/>
  <c r="P37" i="30"/>
  <c r="Q37" i="30"/>
  <c r="R31" i="30" s="1"/>
  <c r="L14" i="29"/>
  <c r="L15" i="29" s="1"/>
  <c r="Q10" i="30"/>
  <c r="R5" i="30" s="1"/>
  <c r="D14" i="29"/>
  <c r="D15" i="29" s="1"/>
  <c r="P10" i="30"/>
  <c r="D2" i="30"/>
  <c r="P24" i="30"/>
  <c r="Q24" i="30"/>
  <c r="R19" i="30" s="1"/>
  <c r="G14" i="29"/>
  <c r="G15" i="29" s="1"/>
  <c r="Q30" i="30"/>
  <c r="R25" i="30" s="1"/>
  <c r="P30" i="30"/>
  <c r="Q60" i="30"/>
  <c r="R56" i="30" s="1"/>
  <c r="J14" i="29"/>
  <c r="J15" i="29" s="1"/>
  <c r="P60" i="30"/>
  <c r="Q66" i="30"/>
  <c r="R61" i="30" s="1"/>
  <c r="P66" i="30"/>
  <c r="Q69" i="28"/>
  <c r="P69" i="28"/>
  <c r="P19" i="28"/>
  <c r="Q19" i="28"/>
  <c r="AE41" i="28"/>
  <c r="AF41" i="28"/>
  <c r="AG34" i="28" s="1"/>
  <c r="N41" i="28"/>
  <c r="Q68" i="28"/>
  <c r="P68" i="28"/>
  <c r="AF10" i="28"/>
  <c r="AG5" i="28" s="1"/>
  <c r="AE10" i="28"/>
  <c r="N10" i="28"/>
  <c r="Q52" i="28"/>
  <c r="P52" i="28"/>
  <c r="Q45" i="28"/>
  <c r="P45" i="28"/>
  <c r="P6" i="28"/>
  <c r="Q6" i="28"/>
  <c r="Q32" i="28"/>
  <c r="P32" i="28"/>
  <c r="Q35" i="28"/>
  <c r="P35" i="28"/>
  <c r="AF13" i="28"/>
  <c r="AG11" i="28" s="1"/>
  <c r="AE13" i="28"/>
  <c r="N13" i="28"/>
  <c r="P11" i="28"/>
  <c r="Q11" i="28"/>
  <c r="AF59" i="28"/>
  <c r="AG51" i="28" s="1"/>
  <c r="AE59" i="28"/>
  <c r="N59" i="28"/>
  <c r="Q46" i="28"/>
  <c r="P46" i="28"/>
  <c r="Q20" i="28"/>
  <c r="P20" i="28"/>
  <c r="Q66" i="28"/>
  <c r="P66" i="28"/>
  <c r="Q38" i="28"/>
  <c r="P38" i="28"/>
  <c r="Q43" i="28"/>
  <c r="P43" i="28"/>
  <c r="Q31" i="28"/>
  <c r="P31" i="28"/>
  <c r="Q36" i="28"/>
  <c r="P36" i="28"/>
  <c r="Q17" i="28"/>
  <c r="P17" i="28"/>
  <c r="AF33" i="28"/>
  <c r="AG25" i="28" s="1"/>
  <c r="N33" i="28"/>
  <c r="AE33" i="28"/>
  <c r="Q15" i="28"/>
  <c r="P15" i="28"/>
  <c r="P25" i="28"/>
  <c r="Q25" i="28"/>
  <c r="N18" i="28"/>
  <c r="AF18" i="28"/>
  <c r="AG14" i="28" s="1"/>
  <c r="AE18" i="28"/>
  <c r="Q62" i="28"/>
  <c r="P62" i="28"/>
  <c r="Q39" i="28"/>
  <c r="P39" i="28"/>
  <c r="AF70" i="28"/>
  <c r="AG65" i="28" s="1"/>
  <c r="AE70" i="28"/>
  <c r="N70" i="28"/>
  <c r="Q63" i="28"/>
  <c r="P63" i="28"/>
  <c r="Q27" i="28"/>
  <c r="P27" i="28"/>
  <c r="AE64" i="28"/>
  <c r="AF64" i="28"/>
  <c r="AG60" i="28" s="1"/>
  <c r="N64" i="28"/>
  <c r="P8" i="28"/>
  <c r="Q8" i="28"/>
  <c r="P55" i="28"/>
  <c r="Q55" i="28"/>
  <c r="Q23" i="28"/>
  <c r="P23" i="28"/>
  <c r="Q61" i="28"/>
  <c r="P61" i="28"/>
  <c r="AF50" i="28"/>
  <c r="AG42" i="28" s="1"/>
  <c r="AE50" i="28"/>
  <c r="N50" i="28"/>
  <c r="Q54" i="28"/>
  <c r="P54" i="28"/>
  <c r="AE24" i="28"/>
  <c r="N24" i="28"/>
  <c r="AF24" i="28"/>
  <c r="AG19" i="28" s="1"/>
  <c r="Q53" i="28"/>
  <c r="P53" i="28"/>
  <c r="Q47" i="28"/>
  <c r="P47" i="28"/>
  <c r="Q34" i="28"/>
  <c r="P34" i="28"/>
  <c r="N37" i="26"/>
  <c r="AF37" i="26"/>
  <c r="AE37" i="26"/>
  <c r="N39" i="26"/>
  <c r="AF39" i="26"/>
  <c r="AE39" i="26"/>
  <c r="Q48" i="26"/>
  <c r="P48" i="26"/>
  <c r="N38" i="26"/>
  <c r="AF38" i="26"/>
  <c r="AE38" i="26"/>
  <c r="N14" i="26"/>
  <c r="M18" i="26"/>
  <c r="AF14" i="26"/>
  <c r="AE14" i="26"/>
  <c r="AE69" i="26"/>
  <c r="N69" i="26"/>
  <c r="AF69" i="26"/>
  <c r="AE71" i="26"/>
  <c r="N71" i="26"/>
  <c r="AF71" i="26"/>
  <c r="Q64" i="26"/>
  <c r="P64" i="26"/>
  <c r="Q68" i="26"/>
  <c r="P68" i="26"/>
  <c r="AF72" i="26"/>
  <c r="AE72" i="26"/>
  <c r="N72" i="26"/>
  <c r="Q58" i="26"/>
  <c r="P58" i="26"/>
  <c r="N60" i="26"/>
  <c r="AF60" i="26"/>
  <c r="AE60" i="26"/>
  <c r="AF56" i="26"/>
  <c r="AE56" i="26"/>
  <c r="N56" i="26"/>
  <c r="N67" i="26"/>
  <c r="M73" i="26"/>
  <c r="AF67" i="26"/>
  <c r="AE67" i="26"/>
  <c r="N59" i="26"/>
  <c r="AF59" i="26"/>
  <c r="AE59" i="26"/>
  <c r="N62" i="26"/>
  <c r="M66" i="26"/>
  <c r="AF62" i="26"/>
  <c r="AE62" i="26"/>
  <c r="AF30" i="26"/>
  <c r="AE30" i="26"/>
  <c r="N30" i="26"/>
  <c r="N45" i="26"/>
  <c r="AF45" i="26"/>
  <c r="AE45" i="26"/>
  <c r="N63" i="26"/>
  <c r="AF63" i="26"/>
  <c r="AE63" i="26"/>
  <c r="N12" i="26"/>
  <c r="AF12" i="26"/>
  <c r="AE12" i="26"/>
  <c r="N44" i="26"/>
  <c r="AF44" i="26"/>
  <c r="AE44" i="26"/>
  <c r="N17" i="26"/>
  <c r="AF17" i="26"/>
  <c r="AE17" i="26"/>
  <c r="N15" i="26"/>
  <c r="AF15" i="26"/>
  <c r="AE15" i="26"/>
  <c r="N70" i="26"/>
  <c r="AF70" i="26"/>
  <c r="AE70" i="26"/>
  <c r="AF8" i="26"/>
  <c r="AE8" i="26"/>
  <c r="N8" i="26"/>
  <c r="N34" i="26"/>
  <c r="AF34" i="26"/>
  <c r="AE34" i="26"/>
  <c r="M42" i="26"/>
  <c r="N40" i="26"/>
  <c r="AF40" i="26"/>
  <c r="AE40" i="26"/>
  <c r="AF32" i="26"/>
  <c r="AE32" i="26"/>
  <c r="N32" i="26"/>
  <c r="AF36" i="26"/>
  <c r="AE36" i="26"/>
  <c r="N36" i="26"/>
  <c r="N11" i="26"/>
  <c r="M13" i="26"/>
  <c r="AF11" i="26"/>
  <c r="AE11" i="26"/>
  <c r="N43" i="26"/>
  <c r="AF43" i="26"/>
  <c r="AE43" i="26"/>
  <c r="M52" i="26"/>
  <c r="N16" i="26"/>
  <c r="AF16" i="26"/>
  <c r="AE16" i="26"/>
  <c r="Q46" i="26"/>
  <c r="P46" i="26"/>
  <c r="N9" i="26"/>
  <c r="AF9" i="26"/>
  <c r="AE9" i="26"/>
  <c r="N41" i="26"/>
  <c r="AF41" i="26"/>
  <c r="AE41" i="26"/>
  <c r="Q57" i="26"/>
  <c r="P57" i="26"/>
  <c r="AE65" i="26"/>
  <c r="N65" i="26"/>
  <c r="AF65" i="26"/>
  <c r="E6" i="25"/>
  <c r="G6" i="25"/>
  <c r="M24" i="26"/>
  <c r="N5" i="26"/>
  <c r="N6" i="26"/>
  <c r="N25" i="26"/>
  <c r="N28" i="26"/>
  <c r="N53" i="26"/>
  <c r="N54" i="26"/>
  <c r="P7" i="26"/>
  <c r="N23" i="26"/>
  <c r="N27" i="26"/>
  <c r="P29" i="26"/>
  <c r="P31" i="26"/>
  <c r="P35" i="26"/>
  <c r="N51" i="26"/>
  <c r="P55" i="26"/>
  <c r="N22" i="26"/>
  <c r="N26" i="26"/>
  <c r="N50" i="26"/>
  <c r="AE58" i="26"/>
  <c r="N21" i="26"/>
  <c r="N47" i="26"/>
  <c r="N49" i="26"/>
  <c r="AF58" i="26"/>
  <c r="M61" i="26"/>
  <c r="AF57" i="26"/>
  <c r="Y2" i="26"/>
  <c r="K6" i="25" s="1"/>
  <c r="AE7" i="26"/>
  <c r="AE29" i="26"/>
  <c r="AE31" i="26"/>
  <c r="AE35" i="26"/>
  <c r="AE55" i="26"/>
  <c r="AE5" i="26"/>
  <c r="AE6" i="26"/>
  <c r="M10" i="26"/>
  <c r="AE28" i="26"/>
  <c r="AE53" i="26"/>
  <c r="AE54" i="26"/>
  <c r="AE23" i="26"/>
  <c r="AE27" i="26"/>
  <c r="M33" i="26"/>
  <c r="AE51" i="26"/>
  <c r="AE22" i="26"/>
  <c r="AE25" i="26"/>
  <c r="AE26" i="26"/>
  <c r="AE50" i="26"/>
  <c r="AD77" i="24"/>
  <c r="Z77" i="24"/>
  <c r="Y77" i="24"/>
  <c r="O77" i="24"/>
  <c r="K77" i="24"/>
  <c r="V76" i="24"/>
  <c r="U76" i="24"/>
  <c r="O76" i="24"/>
  <c r="M76" i="24"/>
  <c r="AE76" i="24" s="1"/>
  <c r="K76" i="24"/>
  <c r="G76" i="24"/>
  <c r="X75" i="24"/>
  <c r="W75" i="24"/>
  <c r="V75" i="24"/>
  <c r="M75" i="24" s="1"/>
  <c r="U75" i="24"/>
  <c r="O75" i="24"/>
  <c r="K75" i="24"/>
  <c r="G75" i="24"/>
  <c r="V74" i="24"/>
  <c r="M74" i="24" s="1"/>
  <c r="U74" i="24"/>
  <c r="O74" i="24"/>
  <c r="K74" i="24"/>
  <c r="G74" i="24"/>
  <c r="V73" i="24"/>
  <c r="M73" i="24" s="1"/>
  <c r="U73" i="24"/>
  <c r="O73" i="24"/>
  <c r="K73" i="24"/>
  <c r="G73" i="24"/>
  <c r="X72" i="24"/>
  <c r="W72" i="24"/>
  <c r="V72" i="24"/>
  <c r="M72" i="24" s="1"/>
  <c r="O72" i="24"/>
  <c r="K72" i="24"/>
  <c r="G72" i="24"/>
  <c r="AD71" i="24"/>
  <c r="Z71" i="24"/>
  <c r="Y71" i="24"/>
  <c r="O71" i="24"/>
  <c r="K71" i="24"/>
  <c r="V70" i="24"/>
  <c r="M70" i="24" s="1"/>
  <c r="U70" i="24"/>
  <c r="O70" i="24"/>
  <c r="K70" i="24"/>
  <c r="G70" i="24"/>
  <c r="V69" i="24"/>
  <c r="M69" i="24" s="1"/>
  <c r="U69" i="24"/>
  <c r="O69" i="24"/>
  <c r="K69" i="24"/>
  <c r="G69" i="24"/>
  <c r="V68" i="24"/>
  <c r="M68" i="24" s="1"/>
  <c r="U68" i="24"/>
  <c r="O68" i="24"/>
  <c r="K68" i="24"/>
  <c r="G68" i="24"/>
  <c r="V67" i="24"/>
  <c r="M67" i="24" s="1"/>
  <c r="O67" i="24"/>
  <c r="K67" i="24"/>
  <c r="G67" i="24"/>
  <c r="AD66" i="24"/>
  <c r="Z66" i="24"/>
  <c r="I19" i="23" s="1"/>
  <c r="Y66" i="24"/>
  <c r="I18" i="23" s="1"/>
  <c r="O66" i="24"/>
  <c r="K66" i="24"/>
  <c r="V65" i="24"/>
  <c r="M65" i="24" s="1"/>
  <c r="U65" i="24"/>
  <c r="O65" i="24"/>
  <c r="K65" i="24"/>
  <c r="G65" i="24"/>
  <c r="X64" i="24"/>
  <c r="W64" i="24"/>
  <c r="V64" i="24"/>
  <c r="M64" i="24" s="1"/>
  <c r="U64" i="24"/>
  <c r="O64" i="24"/>
  <c r="K64" i="24"/>
  <c r="G64" i="24"/>
  <c r="V63" i="24"/>
  <c r="M63" i="24" s="1"/>
  <c r="U63" i="24"/>
  <c r="O63" i="24"/>
  <c r="K63" i="24"/>
  <c r="G63" i="24"/>
  <c r="V62" i="24"/>
  <c r="M62" i="24" s="1"/>
  <c r="U62" i="24"/>
  <c r="O62" i="24"/>
  <c r="K62" i="24"/>
  <c r="G62" i="24"/>
  <c r="V61" i="24"/>
  <c r="M61" i="24" s="1"/>
  <c r="U61" i="24"/>
  <c r="O61" i="24"/>
  <c r="K61" i="24"/>
  <c r="G61" i="24"/>
  <c r="V60" i="24"/>
  <c r="U60" i="24"/>
  <c r="O60" i="24"/>
  <c r="M60" i="24"/>
  <c r="AF60" i="24" s="1"/>
  <c r="K60" i="24"/>
  <c r="G60" i="24"/>
  <c r="V59" i="24"/>
  <c r="M59" i="24" s="1"/>
  <c r="N59" i="24" s="1"/>
  <c r="U59" i="24"/>
  <c r="O59" i="24"/>
  <c r="K59" i="24"/>
  <c r="G59" i="24"/>
  <c r="V58" i="24"/>
  <c r="M58" i="24" s="1"/>
  <c r="AF58" i="24" s="1"/>
  <c r="U58" i="24"/>
  <c r="O58" i="24"/>
  <c r="K58" i="24"/>
  <c r="G58" i="24"/>
  <c r="V57" i="24"/>
  <c r="O57" i="24"/>
  <c r="M57" i="24"/>
  <c r="N57" i="24" s="1"/>
  <c r="K57" i="24"/>
  <c r="G57" i="24"/>
  <c r="AD56" i="24"/>
  <c r="H21" i="23" s="1"/>
  <c r="Z56" i="24"/>
  <c r="Y56" i="24"/>
  <c r="O56" i="24"/>
  <c r="K56" i="24"/>
  <c r="H13" i="23" s="1"/>
  <c r="V55" i="24"/>
  <c r="U55" i="24"/>
  <c r="O55" i="24"/>
  <c r="M55" i="24"/>
  <c r="AE55" i="24" s="1"/>
  <c r="K55" i="24"/>
  <c r="G55" i="24"/>
  <c r="V54" i="24"/>
  <c r="U54" i="24"/>
  <c r="O54" i="24"/>
  <c r="M54" i="24"/>
  <c r="N54" i="24" s="1"/>
  <c r="K54" i="24"/>
  <c r="G54" i="24"/>
  <c r="V53" i="24"/>
  <c r="M53" i="24" s="1"/>
  <c r="U53" i="24"/>
  <c r="O53" i="24"/>
  <c r="K53" i="24"/>
  <c r="G53" i="24"/>
  <c r="X52" i="24"/>
  <c r="W52" i="24"/>
  <c r="V52" i="24"/>
  <c r="M52" i="24" s="1"/>
  <c r="U52" i="24"/>
  <c r="O52" i="24"/>
  <c r="K52" i="24"/>
  <c r="G52" i="24"/>
  <c r="V51" i="24"/>
  <c r="M51" i="24" s="1"/>
  <c r="U51" i="24"/>
  <c r="O51" i="24"/>
  <c r="K51" i="24"/>
  <c r="G51" i="24"/>
  <c r="V50" i="24"/>
  <c r="M50" i="24" s="1"/>
  <c r="U50" i="24"/>
  <c r="O50" i="24"/>
  <c r="K50" i="24"/>
  <c r="G50" i="24"/>
  <c r="V49" i="24"/>
  <c r="M49" i="24" s="1"/>
  <c r="U49" i="24"/>
  <c r="O49" i="24"/>
  <c r="K49" i="24"/>
  <c r="G49" i="24"/>
  <c r="V48" i="24"/>
  <c r="M48" i="24" s="1"/>
  <c r="U48" i="24"/>
  <c r="O48" i="24"/>
  <c r="K48" i="24"/>
  <c r="G48" i="24"/>
  <c r="V47" i="24"/>
  <c r="M47" i="24" s="1"/>
  <c r="O47" i="24"/>
  <c r="K47" i="24"/>
  <c r="G47" i="24"/>
  <c r="AD46" i="24"/>
  <c r="L21" i="23" s="1"/>
  <c r="Z46" i="24"/>
  <c r="Y46" i="24"/>
  <c r="O46" i="24"/>
  <c r="K46" i="24"/>
  <c r="V45" i="24"/>
  <c r="M45" i="24" s="1"/>
  <c r="N45" i="24" s="1"/>
  <c r="U45" i="24"/>
  <c r="O45" i="24"/>
  <c r="K45" i="24"/>
  <c r="G45" i="24"/>
  <c r="V44" i="24"/>
  <c r="M44" i="24" s="1"/>
  <c r="U44" i="24"/>
  <c r="O44" i="24"/>
  <c r="K44" i="24"/>
  <c r="G44" i="24"/>
  <c r="V43" i="24"/>
  <c r="U43" i="24"/>
  <c r="O43" i="24"/>
  <c r="M43" i="24"/>
  <c r="N43" i="24" s="1"/>
  <c r="K43" i="24"/>
  <c r="G43" i="24"/>
  <c r="X42" i="24"/>
  <c r="W42" i="24"/>
  <c r="V42" i="24"/>
  <c r="M42" i="24" s="1"/>
  <c r="U42" i="24"/>
  <c r="O42" i="24"/>
  <c r="K42" i="24"/>
  <c r="G42" i="24"/>
  <c r="V41" i="24"/>
  <c r="M41" i="24" s="1"/>
  <c r="N41" i="24" s="1"/>
  <c r="U41" i="24"/>
  <c r="O41" i="24"/>
  <c r="K41" i="24"/>
  <c r="G41" i="24"/>
  <c r="V40" i="24"/>
  <c r="U40" i="24"/>
  <c r="O40" i="24"/>
  <c r="M40" i="24"/>
  <c r="AF40" i="24" s="1"/>
  <c r="K40" i="24"/>
  <c r="G40" i="24"/>
  <c r="V39" i="24"/>
  <c r="M39" i="24" s="1"/>
  <c r="AF39" i="24" s="1"/>
  <c r="U39" i="24"/>
  <c r="O39" i="24"/>
  <c r="K39" i="24"/>
  <c r="G39" i="24"/>
  <c r="X38" i="24"/>
  <c r="W38" i="24"/>
  <c r="V38" i="24"/>
  <c r="O38" i="24"/>
  <c r="M38" i="24"/>
  <c r="AF38" i="24" s="1"/>
  <c r="K38" i="24"/>
  <c r="G38" i="24"/>
  <c r="AD37" i="24"/>
  <c r="Z37" i="24"/>
  <c r="Y37" i="24"/>
  <c r="K18" i="23" s="1"/>
  <c r="O37" i="24"/>
  <c r="K37" i="24"/>
  <c r="K13" i="23" s="1"/>
  <c r="V36" i="24"/>
  <c r="M36" i="24" s="1"/>
  <c r="AF36" i="24" s="1"/>
  <c r="U36" i="24"/>
  <c r="O36" i="24"/>
  <c r="K36" i="24"/>
  <c r="G36" i="24"/>
  <c r="V35" i="24"/>
  <c r="M35" i="24" s="1"/>
  <c r="U35" i="24"/>
  <c r="O35" i="24"/>
  <c r="K35" i="24"/>
  <c r="G35" i="24"/>
  <c r="V34" i="24"/>
  <c r="U34" i="24"/>
  <c r="O34" i="24"/>
  <c r="M34" i="24"/>
  <c r="N34" i="24" s="1"/>
  <c r="K34" i="24"/>
  <c r="G34" i="24"/>
  <c r="AF33" i="24"/>
  <c r="X33" i="24"/>
  <c r="W33" i="24"/>
  <c r="V33" i="24"/>
  <c r="U33" i="24"/>
  <c r="O33" i="24"/>
  <c r="M33" i="24"/>
  <c r="AE33" i="24" s="1"/>
  <c r="K33" i="24"/>
  <c r="G33" i="24"/>
  <c r="V32" i="24"/>
  <c r="U32" i="24"/>
  <c r="O32" i="24"/>
  <c r="M32" i="24"/>
  <c r="N32" i="24" s="1"/>
  <c r="K32" i="24"/>
  <c r="G32" i="24"/>
  <c r="V31" i="24"/>
  <c r="M31" i="24" s="1"/>
  <c r="U31" i="24"/>
  <c r="O31" i="24"/>
  <c r="K31" i="24"/>
  <c r="G31" i="24"/>
  <c r="V30" i="24"/>
  <c r="M30" i="24" s="1"/>
  <c r="U30" i="24"/>
  <c r="O30" i="24"/>
  <c r="K30" i="24"/>
  <c r="G30" i="24"/>
  <c r="AE29" i="24"/>
  <c r="V29" i="24"/>
  <c r="U29" i="24"/>
  <c r="O29" i="24"/>
  <c r="N29" i="24"/>
  <c r="Q29" i="24" s="1"/>
  <c r="M29" i="24"/>
  <c r="AF29" i="24" s="1"/>
  <c r="K29" i="24"/>
  <c r="G29" i="24"/>
  <c r="X28" i="24"/>
  <c r="W28" i="24"/>
  <c r="V28" i="24"/>
  <c r="M28" i="24" s="1"/>
  <c r="O28" i="24"/>
  <c r="K28" i="24"/>
  <c r="G28" i="24"/>
  <c r="AD27" i="24"/>
  <c r="G21" i="23" s="1"/>
  <c r="Z27" i="24"/>
  <c r="Y27" i="24"/>
  <c r="O27" i="24"/>
  <c r="K27" i="24"/>
  <c r="G13" i="23" s="1"/>
  <c r="AF26" i="24"/>
  <c r="AE26" i="24"/>
  <c r="V26" i="24"/>
  <c r="U26" i="24"/>
  <c r="O26" i="24"/>
  <c r="M26" i="24"/>
  <c r="N26" i="24" s="1"/>
  <c r="K26" i="24"/>
  <c r="G26" i="24"/>
  <c r="X25" i="24"/>
  <c r="W25" i="24"/>
  <c r="V25" i="24"/>
  <c r="M25" i="24" s="1"/>
  <c r="U25" i="24"/>
  <c r="O25" i="24"/>
  <c r="K25" i="24"/>
  <c r="G25" i="24"/>
  <c r="AE24" i="24"/>
  <c r="V24" i="24"/>
  <c r="U24" i="24"/>
  <c r="O24" i="24"/>
  <c r="N24" i="24"/>
  <c r="Q24" i="24" s="1"/>
  <c r="M24" i="24"/>
  <c r="AF24" i="24" s="1"/>
  <c r="K24" i="24"/>
  <c r="G24" i="24"/>
  <c r="V23" i="24"/>
  <c r="M23" i="24" s="1"/>
  <c r="U23" i="24"/>
  <c r="O23" i="24"/>
  <c r="K23" i="24"/>
  <c r="G23" i="24"/>
  <c r="V22" i="24"/>
  <c r="M22" i="24" s="1"/>
  <c r="U22" i="24"/>
  <c r="O22" i="24"/>
  <c r="K22" i="24"/>
  <c r="G22" i="24"/>
  <c r="V21" i="24"/>
  <c r="M21" i="24" s="1"/>
  <c r="O21" i="24"/>
  <c r="K21" i="24"/>
  <c r="G21" i="24"/>
  <c r="AD20" i="24"/>
  <c r="F21" i="23" s="1"/>
  <c r="Z20" i="24"/>
  <c r="Y20" i="24"/>
  <c r="F18" i="23" s="1"/>
  <c r="O20" i="24"/>
  <c r="K20" i="24"/>
  <c r="V19" i="24"/>
  <c r="U19" i="24"/>
  <c r="O19" i="24"/>
  <c r="M19" i="24"/>
  <c r="K19" i="24"/>
  <c r="G19" i="24"/>
  <c r="X18" i="24"/>
  <c r="W18" i="24"/>
  <c r="V18" i="24"/>
  <c r="M18" i="24" s="1"/>
  <c r="U18" i="24"/>
  <c r="O18" i="24"/>
  <c r="N18" i="24"/>
  <c r="K18" i="24"/>
  <c r="G18" i="24"/>
  <c r="V17" i="24"/>
  <c r="U17" i="24"/>
  <c r="O17" i="24"/>
  <c r="M17" i="24"/>
  <c r="K17" i="24"/>
  <c r="G17" i="24"/>
  <c r="V16" i="24"/>
  <c r="U16" i="24"/>
  <c r="O16" i="24"/>
  <c r="M16" i="24"/>
  <c r="N16" i="24" s="1"/>
  <c r="K16" i="24"/>
  <c r="G16" i="24"/>
  <c r="V15" i="24"/>
  <c r="M15" i="24" s="1"/>
  <c r="N15" i="24" s="1"/>
  <c r="O15" i="24"/>
  <c r="K15" i="24"/>
  <c r="G15" i="24"/>
  <c r="AD14" i="24"/>
  <c r="E21" i="23" s="1"/>
  <c r="Z14" i="24"/>
  <c r="Y14" i="24"/>
  <c r="O14" i="24"/>
  <c r="K14" i="24"/>
  <c r="E13" i="23" s="1"/>
  <c r="V13" i="24"/>
  <c r="M13" i="24" s="1"/>
  <c r="AF13" i="24" s="1"/>
  <c r="U13" i="24"/>
  <c r="O13" i="24"/>
  <c r="K13" i="24"/>
  <c r="G13" i="24"/>
  <c r="X12" i="24"/>
  <c r="W12" i="24"/>
  <c r="V12" i="24"/>
  <c r="M12" i="24" s="1"/>
  <c r="U12" i="24"/>
  <c r="O12" i="24"/>
  <c r="K12" i="24"/>
  <c r="G12" i="24"/>
  <c r="V11" i="24"/>
  <c r="M11" i="24" s="1"/>
  <c r="O11" i="24"/>
  <c r="K11" i="24"/>
  <c r="G11" i="24"/>
  <c r="AD10" i="24"/>
  <c r="Z10" i="24"/>
  <c r="D19" i="23" s="1"/>
  <c r="Y10" i="24"/>
  <c r="O10" i="24"/>
  <c r="K10" i="24"/>
  <c r="D13" i="23" s="1"/>
  <c r="V9" i="24"/>
  <c r="M9" i="24" s="1"/>
  <c r="U9" i="24"/>
  <c r="O9" i="24"/>
  <c r="K9" i="24"/>
  <c r="G9" i="24"/>
  <c r="V8" i="24"/>
  <c r="M8" i="24" s="1"/>
  <c r="U8" i="24"/>
  <c r="O8" i="24"/>
  <c r="K8" i="24"/>
  <c r="G8" i="24"/>
  <c r="V7" i="24"/>
  <c r="M7" i="24" s="1"/>
  <c r="U7" i="24"/>
  <c r="O7" i="24"/>
  <c r="K7" i="24"/>
  <c r="G7" i="24"/>
  <c r="V6" i="24"/>
  <c r="M6" i="24" s="1"/>
  <c r="U6" i="24"/>
  <c r="O6" i="24"/>
  <c r="K6" i="24"/>
  <c r="G6" i="24"/>
  <c r="V5" i="24"/>
  <c r="M5" i="24" s="1"/>
  <c r="O5" i="24"/>
  <c r="K5" i="24"/>
  <c r="G5" i="24"/>
  <c r="H2" i="24"/>
  <c r="H1" i="24"/>
  <c r="D1" i="24"/>
  <c r="M22" i="23"/>
  <c r="L22" i="23"/>
  <c r="K22" i="23"/>
  <c r="J22" i="23"/>
  <c r="I22" i="23"/>
  <c r="H22" i="23"/>
  <c r="G22" i="23"/>
  <c r="F22" i="23"/>
  <c r="E22" i="23"/>
  <c r="D22" i="23"/>
  <c r="M21" i="23"/>
  <c r="K21" i="23"/>
  <c r="J21" i="23"/>
  <c r="I21" i="23"/>
  <c r="D21" i="23"/>
  <c r="M20" i="23"/>
  <c r="L20" i="23"/>
  <c r="K20" i="23"/>
  <c r="J20" i="23"/>
  <c r="I20" i="23"/>
  <c r="H20" i="23"/>
  <c r="G20" i="23"/>
  <c r="F20" i="23"/>
  <c r="E20" i="23"/>
  <c r="D20" i="23"/>
  <c r="M19" i="23"/>
  <c r="L19" i="23"/>
  <c r="K19" i="23"/>
  <c r="J19" i="23"/>
  <c r="H19" i="23"/>
  <c r="F19" i="23"/>
  <c r="E19" i="23"/>
  <c r="M18" i="23"/>
  <c r="L18" i="23"/>
  <c r="J18" i="23"/>
  <c r="H18" i="23"/>
  <c r="G18" i="23"/>
  <c r="E18" i="23"/>
  <c r="D18" i="23"/>
  <c r="M17" i="23"/>
  <c r="L17" i="23"/>
  <c r="K17" i="23"/>
  <c r="J17" i="23"/>
  <c r="I17" i="23"/>
  <c r="H17" i="23"/>
  <c r="G17" i="23"/>
  <c r="F17" i="23"/>
  <c r="E17" i="23"/>
  <c r="D17" i="23"/>
  <c r="M16" i="23"/>
  <c r="L16" i="23"/>
  <c r="K16" i="23"/>
  <c r="J16" i="23"/>
  <c r="I16" i="23"/>
  <c r="H16" i="23"/>
  <c r="G16" i="23"/>
  <c r="F16" i="23"/>
  <c r="E16" i="23"/>
  <c r="D16" i="23"/>
  <c r="M13" i="23"/>
  <c r="L13" i="23"/>
  <c r="J13" i="23"/>
  <c r="I13" i="23"/>
  <c r="F13" i="23"/>
  <c r="M6" i="23"/>
  <c r="F3" i="23"/>
  <c r="C3" i="23"/>
  <c r="AE9" i="24" l="1"/>
  <c r="AF9" i="24"/>
  <c r="N75" i="24"/>
  <c r="AF75" i="24"/>
  <c r="AE75" i="24"/>
  <c r="N72" i="24"/>
  <c r="AF72" i="24"/>
  <c r="AE72" i="24"/>
  <c r="M77" i="24"/>
  <c r="AF77" i="24" s="1"/>
  <c r="AG72" i="24" s="1"/>
  <c r="AF11" i="24"/>
  <c r="M14" i="24"/>
  <c r="AF14" i="24" s="1"/>
  <c r="AG11" i="24" s="1"/>
  <c r="AF49" i="24"/>
  <c r="AE49" i="24"/>
  <c r="N49" i="24"/>
  <c r="N64" i="24"/>
  <c r="AF64" i="24"/>
  <c r="AE64" i="24"/>
  <c r="AE35" i="24"/>
  <c r="N35" i="24"/>
  <c r="Q35" i="24" s="1"/>
  <c r="AF35" i="24"/>
  <c r="AE12" i="24"/>
  <c r="AF12" i="24"/>
  <c r="N73" i="24"/>
  <c r="AE73" i="24"/>
  <c r="AF73" i="24"/>
  <c r="Q26" i="24"/>
  <c r="P26" i="24"/>
  <c r="N8" i="24"/>
  <c r="AF8" i="24"/>
  <c r="AE8" i="24"/>
  <c r="N70" i="24"/>
  <c r="AF70" i="24"/>
  <c r="AE70" i="24"/>
  <c r="AE74" i="24"/>
  <c r="AF74" i="24"/>
  <c r="N74" i="24"/>
  <c r="Q74" i="24" s="1"/>
  <c r="N52" i="24"/>
  <c r="AF52" i="24"/>
  <c r="AE52" i="24"/>
  <c r="N33" i="24"/>
  <c r="Q33" i="24" s="1"/>
  <c r="AE54" i="24"/>
  <c r="AF54" i="24"/>
  <c r="N76" i="24"/>
  <c r="Q76" i="24" s="1"/>
  <c r="N55" i="24"/>
  <c r="Q55" i="24" s="1"/>
  <c r="AF76" i="24"/>
  <c r="AF55" i="24"/>
  <c r="P20" i="26"/>
  <c r="Q20" i="26"/>
  <c r="P24" i="24"/>
  <c r="P29" i="24"/>
  <c r="AE34" i="24"/>
  <c r="AE32" i="24"/>
  <c r="AF34" i="24"/>
  <c r="AF32" i="24"/>
  <c r="I3" i="25"/>
  <c r="P19" i="26"/>
  <c r="Q19" i="26"/>
  <c r="F1" i="24"/>
  <c r="I3" i="23" s="1"/>
  <c r="E8" i="31"/>
  <c r="G8" i="31"/>
  <c r="F8" i="31"/>
  <c r="E8" i="29"/>
  <c r="G8" i="29"/>
  <c r="F8" i="29"/>
  <c r="I7" i="29"/>
  <c r="I8" i="29"/>
  <c r="G7" i="29"/>
  <c r="F7" i="29"/>
  <c r="E7" i="29"/>
  <c r="F14" i="27"/>
  <c r="F15" i="27" s="1"/>
  <c r="Q18" i="28"/>
  <c r="R14" i="28" s="1"/>
  <c r="P18" i="28"/>
  <c r="Q10" i="28"/>
  <c r="R5" i="28" s="1"/>
  <c r="D14" i="27"/>
  <c r="P10" i="28"/>
  <c r="D2" i="28"/>
  <c r="I14" i="27"/>
  <c r="I15" i="27" s="1"/>
  <c r="P59" i="28"/>
  <c r="Q59" i="28"/>
  <c r="R51" i="28" s="1"/>
  <c r="J14" i="27"/>
  <c r="J15" i="27" s="1"/>
  <c r="P64" i="28"/>
  <c r="Q64" i="28"/>
  <c r="R60" i="28" s="1"/>
  <c r="Q33" i="28"/>
  <c r="R25" i="28" s="1"/>
  <c r="P33" i="28"/>
  <c r="K14" i="27"/>
  <c r="Q41" i="28"/>
  <c r="R34" i="28" s="1"/>
  <c r="L14" i="27"/>
  <c r="L15" i="27" s="1"/>
  <c r="P41" i="28"/>
  <c r="G14" i="27"/>
  <c r="G15" i="27" s="1"/>
  <c r="P24" i="28"/>
  <c r="Q24" i="28"/>
  <c r="R19" i="28" s="1"/>
  <c r="Q13" i="28"/>
  <c r="R11" i="28" s="1"/>
  <c r="E14" i="27"/>
  <c r="E15" i="27" s="1"/>
  <c r="P13" i="28"/>
  <c r="P70" i="28"/>
  <c r="Q70" i="28"/>
  <c r="R65" i="28" s="1"/>
  <c r="M14" i="27"/>
  <c r="M15" i="27" s="1"/>
  <c r="H14" i="27"/>
  <c r="H15" i="27" s="1"/>
  <c r="P50" i="28"/>
  <c r="Q50" i="28"/>
  <c r="R42" i="28" s="1"/>
  <c r="Q22" i="26"/>
  <c r="P22" i="26"/>
  <c r="Q26" i="26"/>
  <c r="P26" i="26"/>
  <c r="Q28" i="26"/>
  <c r="P28" i="26"/>
  <c r="P14" i="26"/>
  <c r="Q14" i="26"/>
  <c r="Q6" i="26"/>
  <c r="P6" i="26"/>
  <c r="P41" i="26"/>
  <c r="Q41" i="26"/>
  <c r="Q43" i="26"/>
  <c r="P43" i="26"/>
  <c r="Q62" i="26"/>
  <c r="P62" i="26"/>
  <c r="Q71" i="26"/>
  <c r="P71" i="26"/>
  <c r="AE66" i="26"/>
  <c r="N66" i="26"/>
  <c r="AF66" i="26"/>
  <c r="AG62" i="26" s="1"/>
  <c r="Q51" i="26"/>
  <c r="P51" i="26"/>
  <c r="Q5" i="26"/>
  <c r="P5" i="26"/>
  <c r="Q40" i="26"/>
  <c r="P40" i="26"/>
  <c r="Q60" i="26"/>
  <c r="P60" i="26"/>
  <c r="Q38" i="26"/>
  <c r="P38" i="26"/>
  <c r="Q12" i="26"/>
  <c r="P12" i="26"/>
  <c r="AF24" i="26"/>
  <c r="AG19" i="26" s="1"/>
  <c r="AE24" i="26"/>
  <c r="N24" i="26"/>
  <c r="N42" i="26"/>
  <c r="AF42" i="26"/>
  <c r="AG34" i="26" s="1"/>
  <c r="AE42" i="26"/>
  <c r="P15" i="26"/>
  <c r="Q15" i="26"/>
  <c r="Q63" i="26"/>
  <c r="P63" i="26"/>
  <c r="N61" i="26"/>
  <c r="AF61" i="26"/>
  <c r="AG53" i="26" s="1"/>
  <c r="AE61" i="26"/>
  <c r="Q9" i="26"/>
  <c r="P9" i="26"/>
  <c r="N13" i="26"/>
  <c r="AF13" i="26"/>
  <c r="AG11" i="26" s="1"/>
  <c r="AE13" i="26"/>
  <c r="P59" i="26"/>
  <c r="Q59" i="26"/>
  <c r="Q69" i="26"/>
  <c r="P69" i="26"/>
  <c r="Q25" i="26"/>
  <c r="P25" i="26"/>
  <c r="Q11" i="26"/>
  <c r="P11" i="26"/>
  <c r="Q72" i="26"/>
  <c r="P72" i="26"/>
  <c r="N10" i="26"/>
  <c r="AF10" i="26"/>
  <c r="AG5" i="26" s="1"/>
  <c r="AE10" i="26"/>
  <c r="Q49" i="26"/>
  <c r="P49" i="26"/>
  <c r="Q27" i="26"/>
  <c r="P27" i="26"/>
  <c r="Q36" i="26"/>
  <c r="P36" i="26"/>
  <c r="Q34" i="26"/>
  <c r="P34" i="26"/>
  <c r="Q17" i="26"/>
  <c r="P17" i="26"/>
  <c r="Q45" i="26"/>
  <c r="P45" i="26"/>
  <c r="Q47" i="26"/>
  <c r="P47" i="26"/>
  <c r="Q23" i="26"/>
  <c r="P23" i="26"/>
  <c r="Q65" i="26"/>
  <c r="P65" i="26"/>
  <c r="Q8" i="26"/>
  <c r="P8" i="26"/>
  <c r="Q30" i="26"/>
  <c r="P30" i="26"/>
  <c r="AF73" i="26"/>
  <c r="AG67" i="26" s="1"/>
  <c r="AE73" i="26"/>
  <c r="N73" i="26"/>
  <c r="Q39" i="26"/>
  <c r="P39" i="26"/>
  <c r="N33" i="26"/>
  <c r="AF33" i="26"/>
  <c r="AG25" i="26" s="1"/>
  <c r="AE33" i="26"/>
  <c r="Q21" i="26"/>
  <c r="P21" i="26"/>
  <c r="Q67" i="26"/>
  <c r="P67" i="26"/>
  <c r="Q70" i="26"/>
  <c r="P70" i="26"/>
  <c r="Q54" i="26"/>
  <c r="P54" i="26"/>
  <c r="Q16" i="26"/>
  <c r="P16" i="26"/>
  <c r="Q32" i="26"/>
  <c r="P32" i="26"/>
  <c r="Q44" i="26"/>
  <c r="P44" i="26"/>
  <c r="Q56" i="26"/>
  <c r="P56" i="26"/>
  <c r="Q50" i="26"/>
  <c r="P50" i="26"/>
  <c r="Q53" i="26"/>
  <c r="P53" i="26"/>
  <c r="AF52" i="26"/>
  <c r="AG43" i="26" s="1"/>
  <c r="AE52" i="26"/>
  <c r="N52" i="26"/>
  <c r="N18" i="26"/>
  <c r="AF18" i="26"/>
  <c r="AG14" i="26" s="1"/>
  <c r="AE18" i="26"/>
  <c r="Q37" i="26"/>
  <c r="P37" i="26"/>
  <c r="Q45" i="24"/>
  <c r="P45" i="24"/>
  <c r="Q41" i="24"/>
  <c r="P41" i="24"/>
  <c r="AE50" i="24"/>
  <c r="N50" i="24"/>
  <c r="AF50" i="24"/>
  <c r="Q72" i="24"/>
  <c r="P72" i="24"/>
  <c r="AE7" i="24"/>
  <c r="AF7" i="24"/>
  <c r="N7" i="24"/>
  <c r="N17" i="24"/>
  <c r="AF17" i="24"/>
  <c r="AE17" i="24"/>
  <c r="Q34" i="24"/>
  <c r="P34" i="24"/>
  <c r="N65" i="24"/>
  <c r="AF65" i="24"/>
  <c r="AE65" i="24"/>
  <c r="Q75" i="24"/>
  <c r="P75" i="24"/>
  <c r="Q15" i="24"/>
  <c r="P15" i="24"/>
  <c r="N23" i="24"/>
  <c r="AF23" i="24"/>
  <c r="AE23" i="24"/>
  <c r="Q43" i="24"/>
  <c r="P43" i="24"/>
  <c r="N62" i="24"/>
  <c r="AE62" i="24"/>
  <c r="AF62" i="24"/>
  <c r="Q54" i="24"/>
  <c r="P54" i="24"/>
  <c r="Q70" i="24"/>
  <c r="P70" i="24"/>
  <c r="AF5" i="24"/>
  <c r="AE5" i="24"/>
  <c r="N5" i="24"/>
  <c r="M10" i="24"/>
  <c r="AF19" i="24"/>
  <c r="N19" i="24"/>
  <c r="AE19" i="24"/>
  <c r="N21" i="24"/>
  <c r="AE21" i="24"/>
  <c r="M27" i="24"/>
  <c r="AF21" i="24"/>
  <c r="AF31" i="24"/>
  <c r="AE31" i="24"/>
  <c r="N31" i="24"/>
  <c r="N47" i="24"/>
  <c r="M56" i="24"/>
  <c r="AF47" i="24"/>
  <c r="AE47" i="24"/>
  <c r="AF68" i="24"/>
  <c r="AE68" i="24"/>
  <c r="N68" i="24"/>
  <c r="F6" i="23"/>
  <c r="G6" i="23"/>
  <c r="AF45" i="24"/>
  <c r="AE45" i="24"/>
  <c r="AF51" i="24"/>
  <c r="AE51" i="24"/>
  <c r="N51" i="24"/>
  <c r="E6" i="23"/>
  <c r="Q32" i="24"/>
  <c r="P32" i="24"/>
  <c r="N25" i="24"/>
  <c r="AF25" i="24"/>
  <c r="AE25" i="24"/>
  <c r="AF42" i="24"/>
  <c r="AE42" i="24"/>
  <c r="N42" i="24"/>
  <c r="Q16" i="24"/>
  <c r="P16" i="24"/>
  <c r="P18" i="24"/>
  <c r="Q18" i="24"/>
  <c r="Q59" i="24"/>
  <c r="P59" i="24"/>
  <c r="N63" i="24"/>
  <c r="AF63" i="24"/>
  <c r="AE63" i="24"/>
  <c r="Z2" i="24"/>
  <c r="L6" i="23" s="1"/>
  <c r="G19" i="23"/>
  <c r="AE6" i="24"/>
  <c r="N6" i="24"/>
  <c r="AF6" i="24"/>
  <c r="N22" i="24"/>
  <c r="AE22" i="24"/>
  <c r="AF22" i="24"/>
  <c r="N44" i="24"/>
  <c r="AF44" i="24"/>
  <c r="AE44" i="24"/>
  <c r="N48" i="24"/>
  <c r="AF48" i="24"/>
  <c r="AE48" i="24"/>
  <c r="Q52" i="24"/>
  <c r="P52" i="24"/>
  <c r="AF53" i="24"/>
  <c r="AE53" i="24"/>
  <c r="N53" i="24"/>
  <c r="P57" i="24"/>
  <c r="Q57" i="24"/>
  <c r="AF69" i="24"/>
  <c r="AE69" i="24"/>
  <c r="N69" i="24"/>
  <c r="Q8" i="24"/>
  <c r="P8" i="24"/>
  <c r="AE28" i="24"/>
  <c r="M37" i="24"/>
  <c r="N28" i="24"/>
  <c r="AF28" i="24"/>
  <c r="I6" i="23"/>
  <c r="N61" i="24"/>
  <c r="AF61" i="24"/>
  <c r="AE61" i="24"/>
  <c r="Q73" i="24"/>
  <c r="P73" i="24"/>
  <c r="AF18" i="24"/>
  <c r="AE18" i="24"/>
  <c r="AE30" i="24"/>
  <c r="N30" i="24"/>
  <c r="AF30" i="24"/>
  <c r="M71" i="24"/>
  <c r="AF67" i="24"/>
  <c r="AE67" i="24"/>
  <c r="N67" i="24"/>
  <c r="AD2" i="24"/>
  <c r="N6" i="23" s="1"/>
  <c r="N13" i="24"/>
  <c r="N36" i="24"/>
  <c r="N39" i="24"/>
  <c r="P33" i="24"/>
  <c r="P35" i="24"/>
  <c r="P55" i="24"/>
  <c r="AE60" i="24"/>
  <c r="M66" i="24"/>
  <c r="P74" i="24"/>
  <c r="P76" i="24"/>
  <c r="N60" i="24"/>
  <c r="N14" i="24"/>
  <c r="N11" i="24"/>
  <c r="N40" i="24"/>
  <c r="N58" i="24"/>
  <c r="N9" i="24"/>
  <c r="AE15" i="24"/>
  <c r="AE16" i="24"/>
  <c r="AE41" i="24"/>
  <c r="AE43" i="24"/>
  <c r="AE59" i="24"/>
  <c r="AE11" i="24"/>
  <c r="AE14" i="24"/>
  <c r="AF15" i="24"/>
  <c r="AF16" i="24"/>
  <c r="AE40" i="24"/>
  <c r="AF41" i="24"/>
  <c r="AF43" i="24"/>
  <c r="M46" i="24"/>
  <c r="AE57" i="24"/>
  <c r="AE58" i="24"/>
  <c r="AF59" i="24"/>
  <c r="N38" i="24"/>
  <c r="N12" i="24"/>
  <c r="AE13" i="24"/>
  <c r="M20" i="24"/>
  <c r="AE36" i="24"/>
  <c r="AE38" i="24"/>
  <c r="AE39" i="24"/>
  <c r="AF57" i="24"/>
  <c r="AE77" i="24"/>
  <c r="Y2" i="24"/>
  <c r="K6" i="23" s="1"/>
  <c r="N77" i="24"/>
  <c r="AD73" i="20"/>
  <c r="Z73" i="20"/>
  <c r="Y73" i="20"/>
  <c r="M18" i="19" s="1"/>
  <c r="O73" i="20"/>
  <c r="K73" i="20"/>
  <c r="V72" i="20"/>
  <c r="M72" i="20" s="1"/>
  <c r="AE72" i="20" s="1"/>
  <c r="U72" i="20"/>
  <c r="O72" i="20"/>
  <c r="K72" i="20"/>
  <c r="G72" i="20"/>
  <c r="V71" i="20"/>
  <c r="M71" i="20" s="1"/>
  <c r="U71" i="20"/>
  <c r="O71" i="20"/>
  <c r="K71" i="20"/>
  <c r="G71" i="20"/>
  <c r="V70" i="20"/>
  <c r="M70" i="20" s="1"/>
  <c r="U70" i="20"/>
  <c r="O70" i="20"/>
  <c r="K70" i="20"/>
  <c r="G70" i="20"/>
  <c r="X69" i="20"/>
  <c r="W69" i="20"/>
  <c r="V69" i="20"/>
  <c r="M69" i="20" s="1"/>
  <c r="N69" i="20" s="1"/>
  <c r="O69" i="20"/>
  <c r="K69" i="20"/>
  <c r="G69" i="20"/>
  <c r="AD68" i="20"/>
  <c r="Z68" i="20"/>
  <c r="Y68" i="20"/>
  <c r="O68" i="20"/>
  <c r="K68" i="20"/>
  <c r="V67" i="20"/>
  <c r="M67" i="20" s="1"/>
  <c r="U67" i="20"/>
  <c r="O67" i="20"/>
  <c r="K67" i="20"/>
  <c r="G67" i="20"/>
  <c r="V66" i="20"/>
  <c r="M66" i="20" s="1"/>
  <c r="U66" i="20"/>
  <c r="O66" i="20"/>
  <c r="K66" i="20"/>
  <c r="G66" i="20"/>
  <c r="V65" i="20"/>
  <c r="M65" i="20" s="1"/>
  <c r="U65" i="20"/>
  <c r="O65" i="20"/>
  <c r="K65" i="20"/>
  <c r="G65" i="20"/>
  <c r="V64" i="20"/>
  <c r="M64" i="20" s="1"/>
  <c r="O64" i="20"/>
  <c r="K64" i="20"/>
  <c r="G64" i="20"/>
  <c r="AD63" i="20"/>
  <c r="Z63" i="20"/>
  <c r="I19" i="19" s="1"/>
  <c r="Y63" i="20"/>
  <c r="I18" i="19" s="1"/>
  <c r="O63" i="20"/>
  <c r="K63" i="20"/>
  <c r="V62" i="20"/>
  <c r="M62" i="20" s="1"/>
  <c r="U62" i="20"/>
  <c r="O62" i="20"/>
  <c r="K62" i="20"/>
  <c r="G62" i="20"/>
  <c r="X61" i="20"/>
  <c r="W61" i="20"/>
  <c r="V61" i="20"/>
  <c r="M61" i="20" s="1"/>
  <c r="U61" i="20"/>
  <c r="O61" i="20"/>
  <c r="K61" i="20"/>
  <c r="G61" i="20"/>
  <c r="V60" i="20"/>
  <c r="M60" i="20" s="1"/>
  <c r="U60" i="20"/>
  <c r="O60" i="20"/>
  <c r="K60" i="20"/>
  <c r="G60" i="20"/>
  <c r="V59" i="20"/>
  <c r="M59" i="20" s="1"/>
  <c r="U59" i="20"/>
  <c r="O59" i="20"/>
  <c r="K59" i="20"/>
  <c r="G59" i="20"/>
  <c r="V58" i="20"/>
  <c r="M58" i="20" s="1"/>
  <c r="AF58" i="20" s="1"/>
  <c r="U58" i="20"/>
  <c r="O58" i="20"/>
  <c r="K58" i="20"/>
  <c r="G58" i="20"/>
  <c r="V57" i="20"/>
  <c r="M57" i="20" s="1"/>
  <c r="U57" i="20"/>
  <c r="O57" i="20"/>
  <c r="K57" i="20"/>
  <c r="G57" i="20"/>
  <c r="V56" i="20"/>
  <c r="M56" i="20" s="1"/>
  <c r="AF56" i="20" s="1"/>
  <c r="U56" i="20"/>
  <c r="O56" i="20"/>
  <c r="K56" i="20"/>
  <c r="G56" i="20"/>
  <c r="V55" i="20"/>
  <c r="M55" i="20" s="1"/>
  <c r="U55" i="20"/>
  <c r="O55" i="20"/>
  <c r="K55" i="20"/>
  <c r="G55" i="20"/>
  <c r="V54" i="20"/>
  <c r="M54" i="20" s="1"/>
  <c r="O54" i="20"/>
  <c r="K54" i="20"/>
  <c r="G54" i="20"/>
  <c r="AD53" i="20"/>
  <c r="Z53" i="20"/>
  <c r="Y53" i="20"/>
  <c r="O53" i="20"/>
  <c r="K53" i="20"/>
  <c r="V52" i="20"/>
  <c r="M52" i="20" s="1"/>
  <c r="U52" i="20"/>
  <c r="O52" i="20"/>
  <c r="K52" i="20"/>
  <c r="G52" i="20"/>
  <c r="X51" i="20"/>
  <c r="W51" i="20"/>
  <c r="V51" i="20"/>
  <c r="U51" i="20"/>
  <c r="O51" i="20"/>
  <c r="M51" i="20"/>
  <c r="N51" i="20" s="1"/>
  <c r="K51" i="20"/>
  <c r="G51" i="20"/>
  <c r="AF50" i="20"/>
  <c r="AE50" i="20"/>
  <c r="V50" i="20"/>
  <c r="U50" i="20"/>
  <c r="O50" i="20"/>
  <c r="M50" i="20"/>
  <c r="N50" i="20" s="1"/>
  <c r="K50" i="20"/>
  <c r="G50" i="20"/>
  <c r="V49" i="20"/>
  <c r="M49" i="20" s="1"/>
  <c r="U49" i="20"/>
  <c r="O49" i="20"/>
  <c r="K49" i="20"/>
  <c r="G49" i="20"/>
  <c r="V48" i="20"/>
  <c r="M48" i="20" s="1"/>
  <c r="U48" i="20"/>
  <c r="O48" i="20"/>
  <c r="K48" i="20"/>
  <c r="G48" i="20"/>
  <c r="X47" i="20"/>
  <c r="W47" i="20"/>
  <c r="V47" i="20"/>
  <c r="M47" i="20" s="1"/>
  <c r="U47" i="20"/>
  <c r="O47" i="20"/>
  <c r="K47" i="20"/>
  <c r="G47" i="20"/>
  <c r="V46" i="20"/>
  <c r="M46" i="20" s="1"/>
  <c r="O46" i="20"/>
  <c r="K46" i="20"/>
  <c r="G46" i="20"/>
  <c r="AD45" i="20"/>
  <c r="Z45" i="20"/>
  <c r="L19" i="19" s="1"/>
  <c r="Y45" i="20"/>
  <c r="O45" i="20"/>
  <c r="K45" i="20"/>
  <c r="V44" i="20"/>
  <c r="M44" i="20" s="1"/>
  <c r="U44" i="20"/>
  <c r="O44" i="20"/>
  <c r="K44" i="20"/>
  <c r="G44" i="20"/>
  <c r="V43" i="20"/>
  <c r="M43" i="20" s="1"/>
  <c r="U43" i="20"/>
  <c r="O43" i="20"/>
  <c r="K43" i="20"/>
  <c r="G43" i="20"/>
  <c r="X42" i="20"/>
  <c r="W42" i="20"/>
  <c r="V42" i="20"/>
  <c r="M42" i="20" s="1"/>
  <c r="U42" i="20"/>
  <c r="O42" i="20"/>
  <c r="K42" i="20"/>
  <c r="G42" i="20"/>
  <c r="V41" i="20"/>
  <c r="M41" i="20" s="1"/>
  <c r="U41" i="20"/>
  <c r="O41" i="20"/>
  <c r="K41" i="20"/>
  <c r="G41" i="20"/>
  <c r="V40" i="20"/>
  <c r="M40" i="20" s="1"/>
  <c r="U40" i="20"/>
  <c r="O40" i="20"/>
  <c r="K40" i="20"/>
  <c r="G40" i="20"/>
  <c r="V39" i="20"/>
  <c r="M39" i="20" s="1"/>
  <c r="U39" i="20"/>
  <c r="O39" i="20"/>
  <c r="K39" i="20"/>
  <c r="G39" i="20"/>
  <c r="X38" i="20"/>
  <c r="W38" i="20"/>
  <c r="V38" i="20"/>
  <c r="M38" i="20" s="1"/>
  <c r="O38" i="20"/>
  <c r="K38" i="20"/>
  <c r="G38" i="20"/>
  <c r="AD37" i="20"/>
  <c r="K21" i="19" s="1"/>
  <c r="Z37" i="20"/>
  <c r="K19" i="19" s="1"/>
  <c r="Y37" i="20"/>
  <c r="K18" i="19" s="1"/>
  <c r="O37" i="20"/>
  <c r="K37" i="20"/>
  <c r="V36" i="20"/>
  <c r="M36" i="20" s="1"/>
  <c r="U36" i="20"/>
  <c r="O36" i="20"/>
  <c r="K36" i="20"/>
  <c r="G36" i="20"/>
  <c r="V35" i="20"/>
  <c r="U35" i="20"/>
  <c r="O35" i="20"/>
  <c r="M35" i="20"/>
  <c r="AF35" i="20" s="1"/>
  <c r="K35" i="20"/>
  <c r="G35" i="20"/>
  <c r="V34" i="20"/>
  <c r="U34" i="20"/>
  <c r="O34" i="20"/>
  <c r="M34" i="20"/>
  <c r="AF34" i="20" s="1"/>
  <c r="K34" i="20"/>
  <c r="G34" i="20"/>
  <c r="X33" i="20"/>
  <c r="W33" i="20"/>
  <c r="V33" i="20"/>
  <c r="U33" i="20"/>
  <c r="O33" i="20"/>
  <c r="M33" i="20"/>
  <c r="AF33" i="20" s="1"/>
  <c r="K33" i="20"/>
  <c r="G33" i="20"/>
  <c r="V32" i="20"/>
  <c r="M32" i="20" s="1"/>
  <c r="U32" i="20"/>
  <c r="O32" i="20"/>
  <c r="K32" i="20"/>
  <c r="G32" i="20"/>
  <c r="V31" i="20"/>
  <c r="M31" i="20" s="1"/>
  <c r="AF31" i="20" s="1"/>
  <c r="U31" i="20"/>
  <c r="O31" i="20"/>
  <c r="K31" i="20"/>
  <c r="G31" i="20"/>
  <c r="V30" i="20"/>
  <c r="U30" i="20"/>
  <c r="O30" i="20"/>
  <c r="N30" i="20"/>
  <c r="Q30" i="20" s="1"/>
  <c r="M30" i="20"/>
  <c r="AF30" i="20" s="1"/>
  <c r="K30" i="20"/>
  <c r="G30" i="20"/>
  <c r="V29" i="20"/>
  <c r="M29" i="20" s="1"/>
  <c r="AE29" i="20" s="1"/>
  <c r="U29" i="20"/>
  <c r="O29" i="20"/>
  <c r="K29" i="20"/>
  <c r="G29" i="20"/>
  <c r="X28" i="20"/>
  <c r="W28" i="20"/>
  <c r="V28" i="20"/>
  <c r="M28" i="20" s="1"/>
  <c r="AE28" i="20" s="1"/>
  <c r="O28" i="20"/>
  <c r="K28" i="20"/>
  <c r="G28" i="20"/>
  <c r="AD27" i="20"/>
  <c r="Z27" i="20"/>
  <c r="Y27" i="20"/>
  <c r="O27" i="20"/>
  <c r="K27" i="20"/>
  <c r="V26" i="20"/>
  <c r="U26" i="20"/>
  <c r="O26" i="20"/>
  <c r="M26" i="20"/>
  <c r="AE26" i="20" s="1"/>
  <c r="K26" i="20"/>
  <c r="G26" i="20"/>
  <c r="X25" i="20"/>
  <c r="W25" i="20"/>
  <c r="V25" i="20"/>
  <c r="M25" i="20" s="1"/>
  <c r="U25" i="20"/>
  <c r="O25" i="20"/>
  <c r="K25" i="20"/>
  <c r="G25" i="20"/>
  <c r="V24" i="20"/>
  <c r="U24" i="20"/>
  <c r="O24" i="20"/>
  <c r="M24" i="20"/>
  <c r="AE24" i="20" s="1"/>
  <c r="K24" i="20"/>
  <c r="G24" i="20"/>
  <c r="V23" i="20"/>
  <c r="M23" i="20" s="1"/>
  <c r="U23" i="20"/>
  <c r="O23" i="20"/>
  <c r="K23" i="20"/>
  <c r="G23" i="20"/>
  <c r="V22" i="20"/>
  <c r="M22" i="20" s="1"/>
  <c r="U22" i="20"/>
  <c r="O22" i="20"/>
  <c r="K22" i="20"/>
  <c r="G22" i="20"/>
  <c r="V21" i="20"/>
  <c r="M21" i="20" s="1"/>
  <c r="O21" i="20"/>
  <c r="K21" i="20"/>
  <c r="G21" i="20"/>
  <c r="AD20" i="20"/>
  <c r="F21" i="19" s="1"/>
  <c r="Z20" i="20"/>
  <c r="Y20" i="20"/>
  <c r="O20" i="20"/>
  <c r="K20" i="20"/>
  <c r="V19" i="20"/>
  <c r="M19" i="20" s="1"/>
  <c r="U19" i="20"/>
  <c r="O19" i="20"/>
  <c r="K19" i="20"/>
  <c r="G19" i="20"/>
  <c r="X18" i="20"/>
  <c r="W18" i="20"/>
  <c r="V18" i="20"/>
  <c r="M18" i="20" s="1"/>
  <c r="U18" i="20"/>
  <c r="O18" i="20"/>
  <c r="K18" i="20"/>
  <c r="G18" i="20"/>
  <c r="V17" i="20"/>
  <c r="M17" i="20" s="1"/>
  <c r="U17" i="20"/>
  <c r="O17" i="20"/>
  <c r="K17" i="20"/>
  <c r="G17" i="20"/>
  <c r="V16" i="20"/>
  <c r="M16" i="20" s="1"/>
  <c r="U16" i="20"/>
  <c r="O16" i="20"/>
  <c r="K16" i="20"/>
  <c r="G16" i="20"/>
  <c r="V15" i="20"/>
  <c r="M15" i="20" s="1"/>
  <c r="O15" i="20"/>
  <c r="K15" i="20"/>
  <c r="G15" i="20"/>
  <c r="AD14" i="20"/>
  <c r="E21" i="19" s="1"/>
  <c r="Z14" i="20"/>
  <c r="Y14" i="20"/>
  <c r="E18" i="19" s="1"/>
  <c r="O14" i="20"/>
  <c r="K14" i="20"/>
  <c r="V13" i="20"/>
  <c r="M13" i="20" s="1"/>
  <c r="U13" i="20"/>
  <c r="O13" i="20"/>
  <c r="K13" i="20"/>
  <c r="G13" i="20"/>
  <c r="X12" i="20"/>
  <c r="W12" i="20"/>
  <c r="V12" i="20"/>
  <c r="M12" i="20" s="1"/>
  <c r="U12" i="20"/>
  <c r="O12" i="20"/>
  <c r="K12" i="20"/>
  <c r="G12" i="20"/>
  <c r="V11" i="20"/>
  <c r="M11" i="20" s="1"/>
  <c r="O11" i="20"/>
  <c r="K11" i="20"/>
  <c r="G11" i="20"/>
  <c r="AD10" i="20"/>
  <c r="D21" i="19" s="1"/>
  <c r="Z10" i="20"/>
  <c r="Y10" i="20"/>
  <c r="O10" i="20"/>
  <c r="K10" i="20"/>
  <c r="V9" i="20"/>
  <c r="U9" i="20"/>
  <c r="O9" i="20"/>
  <c r="M9" i="20"/>
  <c r="AF9" i="20" s="1"/>
  <c r="K9" i="20"/>
  <c r="G9" i="20"/>
  <c r="V8" i="20"/>
  <c r="M8" i="20" s="1"/>
  <c r="U8" i="20"/>
  <c r="O8" i="20"/>
  <c r="K8" i="20"/>
  <c r="G8" i="20"/>
  <c r="V7" i="20"/>
  <c r="M7" i="20" s="1"/>
  <c r="AF7" i="20" s="1"/>
  <c r="U7" i="20"/>
  <c r="O7" i="20"/>
  <c r="K7" i="20"/>
  <c r="G7" i="20"/>
  <c r="V6" i="20"/>
  <c r="M6" i="20" s="1"/>
  <c r="U6" i="20"/>
  <c r="O6" i="20"/>
  <c r="K6" i="20"/>
  <c r="G6" i="20"/>
  <c r="V5" i="20"/>
  <c r="M5" i="20" s="1"/>
  <c r="O5" i="20"/>
  <c r="K5" i="20"/>
  <c r="G5" i="20"/>
  <c r="H2" i="20"/>
  <c r="H1" i="20"/>
  <c r="D1" i="20"/>
  <c r="F3" i="19" s="1"/>
  <c r="M22" i="19"/>
  <c r="L22" i="19"/>
  <c r="K22" i="19"/>
  <c r="J22" i="19"/>
  <c r="I22" i="19"/>
  <c r="H22" i="19"/>
  <c r="G22" i="19"/>
  <c r="F22" i="19"/>
  <c r="E22" i="19"/>
  <c r="D22" i="19"/>
  <c r="M21" i="19"/>
  <c r="L21" i="19"/>
  <c r="J21" i="19"/>
  <c r="I21" i="19"/>
  <c r="H21" i="19"/>
  <c r="G21" i="19"/>
  <c r="M20" i="19"/>
  <c r="L20" i="19"/>
  <c r="K20" i="19"/>
  <c r="J20" i="19"/>
  <c r="I20" i="19"/>
  <c r="H20" i="19"/>
  <c r="G20" i="19"/>
  <c r="F20" i="19"/>
  <c r="E20" i="19"/>
  <c r="D20" i="19"/>
  <c r="M19" i="19"/>
  <c r="J19" i="19"/>
  <c r="H19" i="19"/>
  <c r="G19" i="19"/>
  <c r="F19" i="19"/>
  <c r="E19" i="19"/>
  <c r="L18" i="19"/>
  <c r="J18" i="19"/>
  <c r="H18" i="19"/>
  <c r="G18" i="19"/>
  <c r="F18" i="19"/>
  <c r="D18" i="19"/>
  <c r="M17" i="19"/>
  <c r="L17" i="19"/>
  <c r="K17" i="19"/>
  <c r="J17" i="19"/>
  <c r="I17" i="19"/>
  <c r="H17" i="19"/>
  <c r="G17" i="19"/>
  <c r="F17" i="19"/>
  <c r="E17" i="19"/>
  <c r="D17" i="19"/>
  <c r="M16" i="19"/>
  <c r="L16" i="19"/>
  <c r="K16" i="19"/>
  <c r="J16" i="19"/>
  <c r="I16" i="19"/>
  <c r="H16" i="19"/>
  <c r="G16" i="19"/>
  <c r="F16" i="19"/>
  <c r="E16" i="19"/>
  <c r="D16" i="19"/>
  <c r="M13" i="19"/>
  <c r="L13" i="19"/>
  <c r="K13" i="19"/>
  <c r="J13" i="19"/>
  <c r="I13" i="19"/>
  <c r="H13" i="19"/>
  <c r="G13" i="19"/>
  <c r="F13" i="19"/>
  <c r="E13" i="19"/>
  <c r="D13" i="19"/>
  <c r="M6" i="19"/>
  <c r="C3" i="19"/>
  <c r="N52" i="20" l="1"/>
  <c r="AF52" i="20"/>
  <c r="AE52" i="20"/>
  <c r="AF5" i="20"/>
  <c r="N5" i="20"/>
  <c r="Q5" i="20" s="1"/>
  <c r="AF32" i="20"/>
  <c r="N32" i="20"/>
  <c r="AF6" i="20"/>
  <c r="N6" i="20"/>
  <c r="Q6" i="20" s="1"/>
  <c r="AF57" i="20"/>
  <c r="N57" i="20"/>
  <c r="AF54" i="20"/>
  <c r="N54" i="20"/>
  <c r="Q54" i="20" s="1"/>
  <c r="N23" i="20"/>
  <c r="AF23" i="20"/>
  <c r="AE23" i="20"/>
  <c r="AF55" i="20"/>
  <c r="N55" i="20"/>
  <c r="Q55" i="20" s="1"/>
  <c r="N71" i="20"/>
  <c r="AF71" i="20"/>
  <c r="AE71" i="20"/>
  <c r="AF25" i="20"/>
  <c r="N25" i="20"/>
  <c r="Q25" i="20" s="1"/>
  <c r="AE25" i="20"/>
  <c r="AF8" i="20"/>
  <c r="N8" i="20"/>
  <c r="I6" i="19"/>
  <c r="F2" i="24"/>
  <c r="P64" i="24"/>
  <c r="Q64" i="24"/>
  <c r="Q49" i="24"/>
  <c r="P49" i="24"/>
  <c r="Y2" i="20"/>
  <c r="K6" i="19" s="1"/>
  <c r="Z2" i="20"/>
  <c r="L6" i="19" s="1"/>
  <c r="F6" i="19"/>
  <c r="N34" i="20"/>
  <c r="F1" i="20"/>
  <c r="I7" i="27"/>
  <c r="K15" i="27"/>
  <c r="I8" i="27" s="1"/>
  <c r="G7" i="27"/>
  <c r="F7" i="27"/>
  <c r="E7" i="27"/>
  <c r="D15" i="27"/>
  <c r="G14" i="25"/>
  <c r="G15" i="25" s="1"/>
  <c r="Q24" i="26"/>
  <c r="R19" i="26" s="1"/>
  <c r="P24" i="26"/>
  <c r="F14" i="25"/>
  <c r="F15" i="25" s="1"/>
  <c r="Q18" i="26"/>
  <c r="R14" i="26" s="1"/>
  <c r="P18" i="26"/>
  <c r="H14" i="25"/>
  <c r="H15" i="25" s="1"/>
  <c r="Q52" i="26"/>
  <c r="R43" i="26" s="1"/>
  <c r="P52" i="26"/>
  <c r="K14" i="25"/>
  <c r="Q33" i="26"/>
  <c r="R25" i="26" s="1"/>
  <c r="P33" i="26"/>
  <c r="Q61" i="26"/>
  <c r="R53" i="26" s="1"/>
  <c r="P61" i="26"/>
  <c r="I14" i="25"/>
  <c r="I15" i="25" s="1"/>
  <c r="Q66" i="26"/>
  <c r="R62" i="26" s="1"/>
  <c r="P66" i="26"/>
  <c r="J14" i="25"/>
  <c r="J15" i="25" s="1"/>
  <c r="Q73" i="26"/>
  <c r="R67" i="26" s="1"/>
  <c r="P73" i="26"/>
  <c r="M14" i="25"/>
  <c r="M15" i="25" s="1"/>
  <c r="P10" i="26"/>
  <c r="D14" i="25"/>
  <c r="D2" i="26"/>
  <c r="Q10" i="26"/>
  <c r="R5" i="26" s="1"/>
  <c r="Q13" i="26"/>
  <c r="R11" i="26" s="1"/>
  <c r="E14" i="25"/>
  <c r="E15" i="25" s="1"/>
  <c r="P13" i="26"/>
  <c r="L14" i="25"/>
  <c r="L15" i="25" s="1"/>
  <c r="Q42" i="26"/>
  <c r="R34" i="26" s="1"/>
  <c r="P42" i="26"/>
  <c r="Q39" i="24"/>
  <c r="P39" i="24"/>
  <c r="P40" i="24"/>
  <c r="Q40" i="24"/>
  <c r="P11" i="24"/>
  <c r="Q11" i="24"/>
  <c r="P60" i="24"/>
  <c r="Q60" i="24"/>
  <c r="Q67" i="24"/>
  <c r="P67" i="24"/>
  <c r="P63" i="24"/>
  <c r="Q63" i="24"/>
  <c r="Q25" i="24"/>
  <c r="P25" i="24"/>
  <c r="Q21" i="24"/>
  <c r="P21" i="24"/>
  <c r="P12" i="24"/>
  <c r="Q12" i="24"/>
  <c r="P61" i="24"/>
  <c r="Q61" i="24"/>
  <c r="P44" i="24"/>
  <c r="Q44" i="24"/>
  <c r="Q38" i="24"/>
  <c r="P38" i="24"/>
  <c r="P19" i="24"/>
  <c r="Q19" i="24"/>
  <c r="Q62" i="24"/>
  <c r="P62" i="24"/>
  <c r="P65" i="24"/>
  <c r="Q65" i="24"/>
  <c r="Q50" i="24"/>
  <c r="P50" i="24"/>
  <c r="AE66" i="24"/>
  <c r="N66" i="24"/>
  <c r="AF66" i="24"/>
  <c r="AG57" i="24" s="1"/>
  <c r="AE71" i="24"/>
  <c r="AF71" i="24"/>
  <c r="AG67" i="24" s="1"/>
  <c r="N71" i="24"/>
  <c r="Q53" i="24"/>
  <c r="P53" i="24"/>
  <c r="P58" i="24"/>
  <c r="Q58" i="24"/>
  <c r="Q48" i="24"/>
  <c r="P48" i="24"/>
  <c r="AF10" i="24"/>
  <c r="AG5" i="24" s="1"/>
  <c r="AE10" i="24"/>
  <c r="N10" i="24"/>
  <c r="AE27" i="24"/>
  <c r="AF27" i="24"/>
  <c r="AG21" i="24" s="1"/>
  <c r="N27" i="24"/>
  <c r="Q68" i="24"/>
  <c r="P68" i="24"/>
  <c r="Q13" i="24"/>
  <c r="P13" i="24"/>
  <c r="N20" i="24"/>
  <c r="AF20" i="24"/>
  <c r="AG15" i="24" s="1"/>
  <c r="AE20" i="24"/>
  <c r="Q14" i="24"/>
  <c r="R11" i="24" s="1"/>
  <c r="E14" i="23"/>
  <c r="E15" i="23" s="1"/>
  <c r="P14" i="24"/>
  <c r="AF56" i="24"/>
  <c r="AG47" i="24" s="1"/>
  <c r="AE56" i="24"/>
  <c r="N56" i="24"/>
  <c r="P47" i="24"/>
  <c r="Q47" i="24"/>
  <c r="N37" i="24"/>
  <c r="AF37" i="24"/>
  <c r="AG28" i="24" s="1"/>
  <c r="AE37" i="24"/>
  <c r="Q7" i="24"/>
  <c r="P7" i="24"/>
  <c r="Q36" i="24"/>
  <c r="P36" i="24"/>
  <c r="Q69" i="24"/>
  <c r="P69" i="24"/>
  <c r="M14" i="23"/>
  <c r="M15" i="23" s="1"/>
  <c r="P77" i="24"/>
  <c r="Q77" i="24"/>
  <c r="R72" i="24" s="1"/>
  <c r="Q22" i="24"/>
  <c r="P22" i="24"/>
  <c r="Q51" i="24"/>
  <c r="P51" i="24"/>
  <c r="Q30" i="24"/>
  <c r="P30" i="24"/>
  <c r="Q28" i="24"/>
  <c r="P28" i="24"/>
  <c r="Q5" i="24"/>
  <c r="P5" i="24"/>
  <c r="N46" i="24"/>
  <c r="AE46" i="24"/>
  <c r="AF46" i="24"/>
  <c r="AG38" i="24" s="1"/>
  <c r="Q6" i="24"/>
  <c r="P6" i="24"/>
  <c r="Q31" i="24"/>
  <c r="P31" i="24"/>
  <c r="Q9" i="24"/>
  <c r="P9" i="24"/>
  <c r="P42" i="24"/>
  <c r="Q42" i="24"/>
  <c r="Q23" i="24"/>
  <c r="P23" i="24"/>
  <c r="P17" i="24"/>
  <c r="Q17" i="24"/>
  <c r="AF39" i="20"/>
  <c r="AE39" i="20"/>
  <c r="N39" i="20"/>
  <c r="N48" i="20"/>
  <c r="AF48" i="20"/>
  <c r="AE48" i="20"/>
  <c r="AF59" i="20"/>
  <c r="AE59" i="20"/>
  <c r="N59" i="20"/>
  <c r="N21" i="20"/>
  <c r="M27" i="20"/>
  <c r="AF21" i="20"/>
  <c r="AE21" i="20"/>
  <c r="N42" i="20"/>
  <c r="AF42" i="20"/>
  <c r="AE42" i="20"/>
  <c r="N44" i="20"/>
  <c r="AE44" i="20"/>
  <c r="AF44" i="20"/>
  <c r="N12" i="20"/>
  <c r="AF12" i="20"/>
  <c r="AE12" i="20"/>
  <c r="F2" i="20"/>
  <c r="I3" i="19"/>
  <c r="N17" i="20"/>
  <c r="AE17" i="20"/>
  <c r="AF17" i="20"/>
  <c r="N19" i="20"/>
  <c r="AE19" i="20"/>
  <c r="AF19" i="20"/>
  <c r="N65" i="20"/>
  <c r="AE65" i="20"/>
  <c r="AF65" i="20"/>
  <c r="N15" i="20"/>
  <c r="M20" i="20"/>
  <c r="AF15" i="20"/>
  <c r="AE15" i="20"/>
  <c r="N22" i="20"/>
  <c r="AF22" i="20"/>
  <c r="AE22" i="20"/>
  <c r="AF36" i="20"/>
  <c r="AE36" i="20"/>
  <c r="N36" i="20"/>
  <c r="Q50" i="20"/>
  <c r="P50" i="20"/>
  <c r="N41" i="20"/>
  <c r="AF41" i="20"/>
  <c r="AE41" i="20"/>
  <c r="N43" i="20"/>
  <c r="AF43" i="20"/>
  <c r="AE43" i="20"/>
  <c r="N61" i="20"/>
  <c r="AF61" i="20"/>
  <c r="AE61" i="20"/>
  <c r="N70" i="20"/>
  <c r="AF70" i="20"/>
  <c r="AE70" i="20"/>
  <c r="N11" i="20"/>
  <c r="M14" i="20"/>
  <c r="AF11" i="20"/>
  <c r="AE11" i="20"/>
  <c r="N18" i="20"/>
  <c r="AF18" i="20"/>
  <c r="AE18" i="20"/>
  <c r="AF13" i="20"/>
  <c r="AE13" i="20"/>
  <c r="N13" i="20"/>
  <c r="Q69" i="20"/>
  <c r="P69" i="20"/>
  <c r="Q71" i="20"/>
  <c r="P71" i="20"/>
  <c r="N64" i="20"/>
  <c r="AE64" i="20"/>
  <c r="M68" i="20"/>
  <c r="AF64" i="20"/>
  <c r="Q23" i="20"/>
  <c r="P23" i="20"/>
  <c r="N46" i="20"/>
  <c r="M53" i="20"/>
  <c r="AF46" i="20"/>
  <c r="AE46" i="20"/>
  <c r="Q52" i="20"/>
  <c r="P52" i="20"/>
  <c r="N66" i="20"/>
  <c r="AF66" i="20"/>
  <c r="AE66" i="20"/>
  <c r="N16" i="20"/>
  <c r="AF16" i="20"/>
  <c r="AE16" i="20"/>
  <c r="Q51" i="20"/>
  <c r="P51" i="20"/>
  <c r="N38" i="20"/>
  <c r="AF38" i="20"/>
  <c r="M45" i="20"/>
  <c r="AE38" i="20"/>
  <c r="N40" i="20"/>
  <c r="AF40" i="20"/>
  <c r="AE40" i="20"/>
  <c r="N47" i="20"/>
  <c r="AE47" i="20"/>
  <c r="AF47" i="20"/>
  <c r="N49" i="20"/>
  <c r="AF49" i="20"/>
  <c r="AE49" i="20"/>
  <c r="N60" i="20"/>
  <c r="AF60" i="20"/>
  <c r="AE60" i="20"/>
  <c r="N62" i="20"/>
  <c r="AF62" i="20"/>
  <c r="AE62" i="20"/>
  <c r="N67" i="20"/>
  <c r="AF67" i="20"/>
  <c r="AE67" i="20"/>
  <c r="D19" i="19"/>
  <c r="AD2" i="20"/>
  <c r="N6" i="19" s="1"/>
  <c r="AF24" i="20"/>
  <c r="AF26" i="20"/>
  <c r="AF28" i="20"/>
  <c r="AF29" i="20"/>
  <c r="AF72" i="20"/>
  <c r="N9" i="20"/>
  <c r="N33" i="20"/>
  <c r="N35" i="20"/>
  <c r="AE51" i="20"/>
  <c r="N58" i="20"/>
  <c r="AE69" i="20"/>
  <c r="E6" i="19"/>
  <c r="G6" i="19"/>
  <c r="AF51" i="20"/>
  <c r="AF69" i="20"/>
  <c r="M73" i="20"/>
  <c r="N7" i="20"/>
  <c r="N28" i="20"/>
  <c r="N31" i="20"/>
  <c r="N56" i="20"/>
  <c r="N24" i="20"/>
  <c r="N26" i="20"/>
  <c r="N29" i="20"/>
  <c r="N72" i="20"/>
  <c r="P5" i="20"/>
  <c r="P6" i="20"/>
  <c r="P25" i="20"/>
  <c r="P30" i="20"/>
  <c r="P54" i="20"/>
  <c r="P55" i="20"/>
  <c r="AE9" i="20"/>
  <c r="AE35" i="20"/>
  <c r="AE58" i="20"/>
  <c r="AE8" i="20"/>
  <c r="AE32" i="20"/>
  <c r="AE34" i="20"/>
  <c r="AE57" i="20"/>
  <c r="M63" i="20"/>
  <c r="AE7" i="20"/>
  <c r="AE31" i="20"/>
  <c r="AE33" i="20"/>
  <c r="M37" i="20"/>
  <c r="AE56" i="20"/>
  <c r="AE5" i="20"/>
  <c r="AE6" i="20"/>
  <c r="M10" i="20"/>
  <c r="AE30" i="20"/>
  <c r="AE54" i="20"/>
  <c r="AE55" i="20"/>
  <c r="AD76" i="18"/>
  <c r="Z76" i="18"/>
  <c r="Y76" i="18"/>
  <c r="O76" i="18"/>
  <c r="K76" i="18"/>
  <c r="AE75" i="18"/>
  <c r="V75" i="18"/>
  <c r="U75" i="18"/>
  <c r="Q75" i="18"/>
  <c r="O75" i="18"/>
  <c r="N75" i="18"/>
  <c r="P75" i="18" s="1"/>
  <c r="M75" i="18"/>
  <c r="AF75" i="18" s="1"/>
  <c r="K75" i="18"/>
  <c r="G75" i="18"/>
  <c r="X74" i="18"/>
  <c r="W74" i="18"/>
  <c r="V74" i="18"/>
  <c r="M74" i="18" s="1"/>
  <c r="N74" i="18" s="1"/>
  <c r="U74" i="18"/>
  <c r="O74" i="18"/>
  <c r="K74" i="18"/>
  <c r="G74" i="18"/>
  <c r="V73" i="18"/>
  <c r="M73" i="18" s="1"/>
  <c r="U73" i="18"/>
  <c r="O73" i="18"/>
  <c r="K73" i="18"/>
  <c r="G73" i="18"/>
  <c r="AF72" i="18"/>
  <c r="AE72" i="18"/>
  <c r="V72" i="18"/>
  <c r="U72" i="18"/>
  <c r="O72" i="18"/>
  <c r="N72" i="18"/>
  <c r="Q72" i="18" s="1"/>
  <c r="M72" i="18"/>
  <c r="K72" i="18"/>
  <c r="G72" i="18"/>
  <c r="X71" i="18"/>
  <c r="W71" i="18"/>
  <c r="V71" i="18"/>
  <c r="M71" i="18" s="1"/>
  <c r="N71" i="18" s="1"/>
  <c r="O71" i="18"/>
  <c r="K71" i="18"/>
  <c r="G71" i="18"/>
  <c r="AD70" i="18"/>
  <c r="J21" i="17" s="1"/>
  <c r="Z70" i="18"/>
  <c r="Y70" i="18"/>
  <c r="O70" i="18"/>
  <c r="K70" i="18"/>
  <c r="V69" i="18"/>
  <c r="U69" i="18"/>
  <c r="O69" i="18"/>
  <c r="M69" i="18"/>
  <c r="N69" i="18" s="1"/>
  <c r="K69" i="18"/>
  <c r="G69" i="18"/>
  <c r="V68" i="18"/>
  <c r="M68" i="18" s="1"/>
  <c r="U68" i="18"/>
  <c r="O68" i="18"/>
  <c r="K68" i="18"/>
  <c r="G68" i="18"/>
  <c r="V67" i="18"/>
  <c r="U67" i="18"/>
  <c r="O67" i="18"/>
  <c r="M67" i="18"/>
  <c r="N67" i="18" s="1"/>
  <c r="Q67" i="18" s="1"/>
  <c r="K67" i="18"/>
  <c r="G67" i="18"/>
  <c r="V66" i="18"/>
  <c r="O66" i="18"/>
  <c r="M66" i="18"/>
  <c r="AF66" i="18" s="1"/>
  <c r="K66" i="18"/>
  <c r="G66" i="18"/>
  <c r="AD65" i="18"/>
  <c r="Z65" i="18"/>
  <c r="Y65" i="18"/>
  <c r="O65" i="18"/>
  <c r="K65" i="18"/>
  <c r="AF64" i="18"/>
  <c r="AE64" i="18"/>
  <c r="V64" i="18"/>
  <c r="U64" i="18"/>
  <c r="Q64" i="18"/>
  <c r="O64" i="18"/>
  <c r="N64" i="18"/>
  <c r="P64" i="18" s="1"/>
  <c r="M64" i="18"/>
  <c r="K64" i="18"/>
  <c r="G64" i="18"/>
  <c r="AF63" i="18"/>
  <c r="AE63" i="18"/>
  <c r="X63" i="18"/>
  <c r="W63" i="18"/>
  <c r="V63" i="18"/>
  <c r="U63" i="18"/>
  <c r="O63" i="18"/>
  <c r="N63" i="18"/>
  <c r="M63" i="18"/>
  <c r="K63" i="18"/>
  <c r="G63" i="18"/>
  <c r="AF62" i="18"/>
  <c r="AE62" i="18"/>
  <c r="V62" i="18"/>
  <c r="U62" i="18"/>
  <c r="O62" i="18"/>
  <c r="N62" i="18"/>
  <c r="Q62" i="18" s="1"/>
  <c r="M62" i="18"/>
  <c r="K62" i="18"/>
  <c r="G62" i="18"/>
  <c r="V61" i="18"/>
  <c r="U61" i="18"/>
  <c r="O61" i="18"/>
  <c r="M61" i="18"/>
  <c r="N61" i="18" s="1"/>
  <c r="Q61" i="18" s="1"/>
  <c r="K61" i="18"/>
  <c r="G61" i="18"/>
  <c r="AF60" i="18"/>
  <c r="V60" i="18"/>
  <c r="U60" i="18"/>
  <c r="O60" i="18"/>
  <c r="M60" i="18"/>
  <c r="AE60" i="18" s="1"/>
  <c r="K60" i="18"/>
  <c r="G60" i="18"/>
  <c r="AF59" i="18"/>
  <c r="V59" i="18"/>
  <c r="U59" i="18"/>
  <c r="O59" i="18"/>
  <c r="M59" i="18"/>
  <c r="AE59" i="18" s="1"/>
  <c r="K59" i="18"/>
  <c r="G59" i="18"/>
  <c r="V58" i="18"/>
  <c r="U58" i="18"/>
  <c r="O58" i="18"/>
  <c r="M58" i="18"/>
  <c r="AF58" i="18" s="1"/>
  <c r="K58" i="18"/>
  <c r="G58" i="18"/>
  <c r="V57" i="18"/>
  <c r="M57" i="18" s="1"/>
  <c r="U57" i="18"/>
  <c r="O57" i="18"/>
  <c r="K57" i="18"/>
  <c r="G57" i="18"/>
  <c r="V56" i="18"/>
  <c r="M56" i="18" s="1"/>
  <c r="N56" i="18" s="1"/>
  <c r="O56" i="18"/>
  <c r="K56" i="18"/>
  <c r="G56" i="18"/>
  <c r="AD55" i="18"/>
  <c r="Z55" i="18"/>
  <c r="Y55" i="18"/>
  <c r="H18" i="17" s="1"/>
  <c r="O55" i="18"/>
  <c r="K55" i="18"/>
  <c r="V54" i="18"/>
  <c r="M54" i="18" s="1"/>
  <c r="U54" i="18"/>
  <c r="O54" i="18"/>
  <c r="K54" i="18"/>
  <c r="G54" i="18"/>
  <c r="X53" i="18"/>
  <c r="W53" i="18"/>
  <c r="V53" i="18"/>
  <c r="M53" i="18" s="1"/>
  <c r="U53" i="18"/>
  <c r="O53" i="18"/>
  <c r="K53" i="18"/>
  <c r="G53" i="18"/>
  <c r="V52" i="18"/>
  <c r="M52" i="18" s="1"/>
  <c r="U52" i="18"/>
  <c r="O52" i="18"/>
  <c r="K52" i="18"/>
  <c r="G52" i="18"/>
  <c r="AF51" i="18"/>
  <c r="V51" i="18"/>
  <c r="U51" i="18"/>
  <c r="O51" i="18"/>
  <c r="M51" i="18"/>
  <c r="N51" i="18" s="1"/>
  <c r="K51" i="18"/>
  <c r="G51" i="18"/>
  <c r="V50" i="18"/>
  <c r="M50" i="18" s="1"/>
  <c r="U50" i="18"/>
  <c r="O50" i="18"/>
  <c r="K50" i="18"/>
  <c r="G50" i="18"/>
  <c r="AE49" i="18"/>
  <c r="X49" i="18"/>
  <c r="W49" i="18"/>
  <c r="V49" i="18"/>
  <c r="U49" i="18"/>
  <c r="O49" i="18"/>
  <c r="M49" i="18"/>
  <c r="N49" i="18" s="1"/>
  <c r="K49" i="18"/>
  <c r="G49" i="18"/>
  <c r="V48" i="18"/>
  <c r="M48" i="18" s="1"/>
  <c r="O48" i="18"/>
  <c r="K48" i="18"/>
  <c r="G48" i="18"/>
  <c r="AD47" i="18"/>
  <c r="Z47" i="18"/>
  <c r="Y47" i="18"/>
  <c r="O47" i="18"/>
  <c r="K47" i="18"/>
  <c r="V46" i="18"/>
  <c r="M46" i="18" s="1"/>
  <c r="U46" i="18"/>
  <c r="O46" i="18"/>
  <c r="K46" i="18"/>
  <c r="G46" i="18"/>
  <c r="V45" i="18"/>
  <c r="U45" i="18"/>
  <c r="O45" i="18"/>
  <c r="M45" i="18"/>
  <c r="N45" i="18" s="1"/>
  <c r="K45" i="18"/>
  <c r="G45" i="18"/>
  <c r="V44" i="18"/>
  <c r="M44" i="18" s="1"/>
  <c r="U44" i="18"/>
  <c r="O44" i="18"/>
  <c r="K44" i="18"/>
  <c r="G44" i="18"/>
  <c r="AE43" i="18"/>
  <c r="V43" i="18"/>
  <c r="U43" i="18"/>
  <c r="O43" i="18"/>
  <c r="M43" i="18"/>
  <c r="N43" i="18" s="1"/>
  <c r="K43" i="18"/>
  <c r="G43" i="18"/>
  <c r="X42" i="18"/>
  <c r="W42" i="18"/>
  <c r="V42" i="18"/>
  <c r="M42" i="18" s="1"/>
  <c r="U42" i="18"/>
  <c r="O42" i="18"/>
  <c r="K42" i="18"/>
  <c r="G42" i="18"/>
  <c r="AE41" i="18"/>
  <c r="V41" i="18"/>
  <c r="U41" i="18"/>
  <c r="O41" i="18"/>
  <c r="M41" i="18"/>
  <c r="N41" i="18" s="1"/>
  <c r="K41" i="18"/>
  <c r="G41" i="18"/>
  <c r="V40" i="18"/>
  <c r="M40" i="18" s="1"/>
  <c r="U40" i="18"/>
  <c r="O40" i="18"/>
  <c r="K40" i="18"/>
  <c r="G40" i="18"/>
  <c r="V39" i="18"/>
  <c r="M39" i="18" s="1"/>
  <c r="U39" i="18"/>
  <c r="O39" i="18"/>
  <c r="K39" i="18"/>
  <c r="G39" i="18"/>
  <c r="X38" i="18"/>
  <c r="W38" i="18"/>
  <c r="V38" i="18"/>
  <c r="O38" i="18"/>
  <c r="M38" i="18"/>
  <c r="N38" i="18" s="1"/>
  <c r="Q38" i="18" s="1"/>
  <c r="K38" i="18"/>
  <c r="G38" i="18"/>
  <c r="AD37" i="18"/>
  <c r="K21" i="17" s="1"/>
  <c r="Z37" i="18"/>
  <c r="Y37" i="18"/>
  <c r="O37" i="18"/>
  <c r="K37" i="18"/>
  <c r="V36" i="18"/>
  <c r="U36" i="18"/>
  <c r="O36" i="18"/>
  <c r="M36" i="18"/>
  <c r="N36" i="18" s="1"/>
  <c r="Q36" i="18" s="1"/>
  <c r="K36" i="18"/>
  <c r="G36" i="18"/>
  <c r="AF35" i="18"/>
  <c r="V35" i="18"/>
  <c r="U35" i="18"/>
  <c r="O35" i="18"/>
  <c r="N35" i="18"/>
  <c r="M35" i="18"/>
  <c r="AE35" i="18" s="1"/>
  <c r="K35" i="18"/>
  <c r="G35" i="18"/>
  <c r="V34" i="18"/>
  <c r="M34" i="18" s="1"/>
  <c r="N34" i="18" s="1"/>
  <c r="U34" i="18"/>
  <c r="O34" i="18"/>
  <c r="K34" i="18"/>
  <c r="G34" i="18"/>
  <c r="X33" i="18"/>
  <c r="W33" i="18"/>
  <c r="V33" i="18"/>
  <c r="U33" i="18"/>
  <c r="O33" i="18"/>
  <c r="M33" i="18"/>
  <c r="AF33" i="18" s="1"/>
  <c r="K33" i="18"/>
  <c r="G33" i="18"/>
  <c r="V32" i="18"/>
  <c r="M32" i="18" s="1"/>
  <c r="U32" i="18"/>
  <c r="O32" i="18"/>
  <c r="K32" i="18"/>
  <c r="G32" i="18"/>
  <c r="V31" i="18"/>
  <c r="M31" i="18" s="1"/>
  <c r="U31" i="18"/>
  <c r="O31" i="18"/>
  <c r="K31" i="18"/>
  <c r="G31" i="18"/>
  <c r="F1" i="18" s="1"/>
  <c r="V30" i="18"/>
  <c r="U30" i="18"/>
  <c r="O30" i="18"/>
  <c r="M30" i="18"/>
  <c r="AF30" i="18" s="1"/>
  <c r="K30" i="18"/>
  <c r="G30" i="18"/>
  <c r="V29" i="18"/>
  <c r="U29" i="18"/>
  <c r="O29" i="18"/>
  <c r="M29" i="18"/>
  <c r="N29" i="18" s="1"/>
  <c r="K29" i="18"/>
  <c r="G29" i="18"/>
  <c r="X28" i="18"/>
  <c r="W28" i="18"/>
  <c r="V28" i="18"/>
  <c r="M28" i="18" s="1"/>
  <c r="O28" i="18"/>
  <c r="K28" i="18"/>
  <c r="G28" i="18"/>
  <c r="AD27" i="18"/>
  <c r="Z27" i="18"/>
  <c r="Y27" i="18"/>
  <c r="O27" i="18"/>
  <c r="K27" i="18"/>
  <c r="AF26" i="18"/>
  <c r="V26" i="18"/>
  <c r="U26" i="18"/>
  <c r="O26" i="18"/>
  <c r="M26" i="18"/>
  <c r="AE26" i="18" s="1"/>
  <c r="K26" i="18"/>
  <c r="G26" i="18"/>
  <c r="AF25" i="18"/>
  <c r="X25" i="18"/>
  <c r="W25" i="18"/>
  <c r="V25" i="18"/>
  <c r="U25" i="18"/>
  <c r="O25" i="18"/>
  <c r="M25" i="18"/>
  <c r="AE25" i="18" s="1"/>
  <c r="K25" i="18"/>
  <c r="G25" i="18"/>
  <c r="AF24" i="18"/>
  <c r="V24" i="18"/>
  <c r="U24" i="18"/>
  <c r="O24" i="18"/>
  <c r="M24" i="18"/>
  <c r="AE24" i="18" s="1"/>
  <c r="K24" i="18"/>
  <c r="G24" i="18"/>
  <c r="V23" i="18"/>
  <c r="M23" i="18" s="1"/>
  <c r="U23" i="18"/>
  <c r="O23" i="18"/>
  <c r="K23" i="18"/>
  <c r="G23" i="18"/>
  <c r="AE22" i="18"/>
  <c r="V22" i="18"/>
  <c r="U22" i="18"/>
  <c r="O22" i="18"/>
  <c r="M22" i="18"/>
  <c r="AF22" i="18" s="1"/>
  <c r="K22" i="18"/>
  <c r="G22" i="18"/>
  <c r="AF21" i="18"/>
  <c r="AE21" i="18"/>
  <c r="V21" i="18"/>
  <c r="O21" i="18"/>
  <c r="N21" i="18"/>
  <c r="M21" i="18"/>
  <c r="M27" i="18" s="1"/>
  <c r="AF27" i="18" s="1"/>
  <c r="AG21" i="18" s="1"/>
  <c r="K21" i="18"/>
  <c r="G21" i="18"/>
  <c r="AD20" i="18"/>
  <c r="Z20" i="18"/>
  <c r="F19" i="17" s="1"/>
  <c r="Y20" i="18"/>
  <c r="O20" i="18"/>
  <c r="K20" i="18"/>
  <c r="V19" i="18"/>
  <c r="M19" i="18" s="1"/>
  <c r="U19" i="18"/>
  <c r="O19" i="18"/>
  <c r="K19" i="18"/>
  <c r="G19" i="18"/>
  <c r="AF18" i="18"/>
  <c r="AE18" i="18"/>
  <c r="X18" i="18"/>
  <c r="W18" i="18"/>
  <c r="V18" i="18"/>
  <c r="U18" i="18"/>
  <c r="O18" i="18"/>
  <c r="N18" i="18"/>
  <c r="P18" i="18" s="1"/>
  <c r="M18" i="18"/>
  <c r="K18" i="18"/>
  <c r="G18" i="18"/>
  <c r="V17" i="18"/>
  <c r="M17" i="18" s="1"/>
  <c r="U17" i="18"/>
  <c r="O17" i="18"/>
  <c r="K17" i="18"/>
  <c r="G17" i="18"/>
  <c r="V16" i="18"/>
  <c r="U16" i="18"/>
  <c r="O16" i="18"/>
  <c r="M16" i="18"/>
  <c r="N16" i="18" s="1"/>
  <c r="K16" i="18"/>
  <c r="G16" i="18"/>
  <c r="V15" i="18"/>
  <c r="M15" i="18" s="1"/>
  <c r="O15" i="18"/>
  <c r="K15" i="18"/>
  <c r="G15" i="18"/>
  <c r="AD14" i="18"/>
  <c r="Z14" i="18"/>
  <c r="Z2" i="18" s="1"/>
  <c r="L6" i="17" s="1"/>
  <c r="Y14" i="18"/>
  <c r="O14" i="18"/>
  <c r="K14" i="18"/>
  <c r="V13" i="18"/>
  <c r="M13" i="18" s="1"/>
  <c r="U13" i="18"/>
  <c r="O13" i="18"/>
  <c r="K13" i="18"/>
  <c r="G13" i="18"/>
  <c r="X12" i="18"/>
  <c r="W12" i="18"/>
  <c r="V12" i="18"/>
  <c r="M12" i="18" s="1"/>
  <c r="U12" i="18"/>
  <c r="O12" i="18"/>
  <c r="K12" i="18"/>
  <c r="G12" i="18"/>
  <c r="AE11" i="18"/>
  <c r="V11" i="18"/>
  <c r="O11" i="18"/>
  <c r="M11" i="18"/>
  <c r="N11" i="18" s="1"/>
  <c r="K11" i="18"/>
  <c r="G11" i="18"/>
  <c r="AD10" i="18"/>
  <c r="D21" i="17" s="1"/>
  <c r="Z10" i="18"/>
  <c r="Y10" i="18"/>
  <c r="Y2" i="18" s="1"/>
  <c r="K6" i="17" s="1"/>
  <c r="O10" i="18"/>
  <c r="K10" i="18"/>
  <c r="V9" i="18"/>
  <c r="U9" i="18"/>
  <c r="O9" i="18"/>
  <c r="M9" i="18"/>
  <c r="AF9" i="18" s="1"/>
  <c r="K9" i="18"/>
  <c r="G9" i="18"/>
  <c r="V8" i="18"/>
  <c r="M8" i="18" s="1"/>
  <c r="U8" i="18"/>
  <c r="O8" i="18"/>
  <c r="K8" i="18"/>
  <c r="G8" i="18"/>
  <c r="V7" i="18"/>
  <c r="M7" i="18" s="1"/>
  <c r="U7" i="18"/>
  <c r="O7" i="18"/>
  <c r="K7" i="18"/>
  <c r="G7" i="18"/>
  <c r="V6" i="18"/>
  <c r="M6" i="18" s="1"/>
  <c r="U6" i="18"/>
  <c r="O6" i="18"/>
  <c r="K6" i="18"/>
  <c r="G6" i="18"/>
  <c r="V5" i="18"/>
  <c r="O5" i="18"/>
  <c r="M5" i="18"/>
  <c r="AF5" i="18" s="1"/>
  <c r="K5" i="18"/>
  <c r="G5" i="18"/>
  <c r="H2" i="18"/>
  <c r="H1" i="18"/>
  <c r="D1" i="18"/>
  <c r="M22" i="17"/>
  <c r="L22" i="17"/>
  <c r="K22" i="17"/>
  <c r="J22" i="17"/>
  <c r="I22" i="17"/>
  <c r="H22" i="17"/>
  <c r="G22" i="17"/>
  <c r="F22" i="17"/>
  <c r="E22" i="17"/>
  <c r="D22" i="17"/>
  <c r="M21" i="17"/>
  <c r="L21" i="17"/>
  <c r="I21" i="17"/>
  <c r="H21" i="17"/>
  <c r="G21" i="17"/>
  <c r="F21" i="17"/>
  <c r="E21" i="17"/>
  <c r="M20" i="17"/>
  <c r="L20" i="17"/>
  <c r="K20" i="17"/>
  <c r="J20" i="17"/>
  <c r="I20" i="17"/>
  <c r="H20" i="17"/>
  <c r="G20" i="17"/>
  <c r="F20" i="17"/>
  <c r="E20" i="17"/>
  <c r="D20" i="17"/>
  <c r="M19" i="17"/>
  <c r="L19" i="17"/>
  <c r="K19" i="17"/>
  <c r="J19" i="17"/>
  <c r="I19" i="17"/>
  <c r="H19" i="17"/>
  <c r="G19" i="17"/>
  <c r="E19" i="17"/>
  <c r="D19" i="17"/>
  <c r="M18" i="17"/>
  <c r="L18" i="17"/>
  <c r="K18" i="17"/>
  <c r="J18" i="17"/>
  <c r="I18" i="17"/>
  <c r="G18" i="17"/>
  <c r="F18" i="17"/>
  <c r="E18" i="17"/>
  <c r="D18" i="17"/>
  <c r="M17" i="17"/>
  <c r="L17" i="17"/>
  <c r="K17" i="17"/>
  <c r="J17" i="17"/>
  <c r="I17" i="17"/>
  <c r="H17" i="17"/>
  <c r="G17" i="17"/>
  <c r="F17" i="17"/>
  <c r="E17" i="17"/>
  <c r="D17" i="17"/>
  <c r="M16" i="17"/>
  <c r="L16" i="17"/>
  <c r="K16" i="17"/>
  <c r="J16" i="17"/>
  <c r="I16" i="17"/>
  <c r="H16" i="17"/>
  <c r="G16" i="17"/>
  <c r="F16" i="17"/>
  <c r="E16" i="17"/>
  <c r="D16" i="17"/>
  <c r="M13" i="17"/>
  <c r="L13" i="17"/>
  <c r="K13" i="17"/>
  <c r="J13" i="17"/>
  <c r="I13" i="17"/>
  <c r="H13" i="17"/>
  <c r="G13" i="17"/>
  <c r="F13" i="17"/>
  <c r="E13" i="17"/>
  <c r="D13" i="17"/>
  <c r="M6" i="17"/>
  <c r="I6" i="17"/>
  <c r="F3" i="17"/>
  <c r="C3" i="17"/>
  <c r="Q49" i="18" l="1"/>
  <c r="P49" i="18"/>
  <c r="P45" i="18"/>
  <c r="Q45" i="18"/>
  <c r="AF19" i="18"/>
  <c r="AE19" i="18"/>
  <c r="N19" i="18"/>
  <c r="AF44" i="18"/>
  <c r="AE44" i="18"/>
  <c r="N44" i="18"/>
  <c r="AF28" i="18"/>
  <c r="AE28" i="18"/>
  <c r="AF52" i="18"/>
  <c r="AE52" i="18"/>
  <c r="N52" i="18"/>
  <c r="Q29" i="18"/>
  <c r="P29" i="18"/>
  <c r="AF42" i="18"/>
  <c r="AE42" i="18"/>
  <c r="N42" i="18"/>
  <c r="N15" i="18"/>
  <c r="Q15" i="18" s="1"/>
  <c r="AE15" i="18"/>
  <c r="AF17" i="18"/>
  <c r="AE17" i="18"/>
  <c r="N17" i="18"/>
  <c r="N13" i="18"/>
  <c r="AF13" i="18"/>
  <c r="AE13" i="18"/>
  <c r="N6" i="18"/>
  <c r="AF6" i="18"/>
  <c r="AE6" i="18"/>
  <c r="N23" i="18"/>
  <c r="Q23" i="18" s="1"/>
  <c r="AF23" i="18"/>
  <c r="AE23" i="18"/>
  <c r="N39" i="18"/>
  <c r="Q39" i="18" s="1"/>
  <c r="AF39" i="18"/>
  <c r="AE39" i="18"/>
  <c r="N68" i="18"/>
  <c r="AF68" i="18"/>
  <c r="AE68" i="18"/>
  <c r="AF46" i="18"/>
  <c r="AE46" i="18"/>
  <c r="N46" i="18"/>
  <c r="Q46" i="18" s="1"/>
  <c r="N53" i="18"/>
  <c r="AF53" i="18"/>
  <c r="AE53" i="18"/>
  <c r="M55" i="18"/>
  <c r="AF48" i="18"/>
  <c r="AE48" i="18"/>
  <c r="N48" i="18"/>
  <c r="AF12" i="18"/>
  <c r="AE12" i="18"/>
  <c r="N12" i="18"/>
  <c r="Q69" i="18"/>
  <c r="P69" i="18"/>
  <c r="Q11" i="18"/>
  <c r="P11" i="18"/>
  <c r="AF40" i="18"/>
  <c r="AE40" i="18"/>
  <c r="N40" i="18"/>
  <c r="N50" i="18"/>
  <c r="AF50" i="18"/>
  <c r="AE50" i="18"/>
  <c r="I3" i="17"/>
  <c r="F2" i="18"/>
  <c r="Q51" i="18"/>
  <c r="P51" i="18"/>
  <c r="AF54" i="18"/>
  <c r="AE54" i="18"/>
  <c r="N54" i="18"/>
  <c r="AF73" i="18"/>
  <c r="AE73" i="18"/>
  <c r="N73" i="18"/>
  <c r="N9" i="18"/>
  <c r="AF11" i="18"/>
  <c r="N25" i="18"/>
  <c r="AE69" i="18"/>
  <c r="AE16" i="18"/>
  <c r="AE36" i="18"/>
  <c r="AE51" i="18"/>
  <c r="P63" i="18"/>
  <c r="AE67" i="18"/>
  <c r="AF69" i="18"/>
  <c r="P72" i="18"/>
  <c r="AF36" i="18"/>
  <c r="AE45" i="18"/>
  <c r="AF67" i="18"/>
  <c r="AF45" i="18"/>
  <c r="AF49" i="18"/>
  <c r="N59" i="18"/>
  <c r="Q59" i="18" s="1"/>
  <c r="Q63" i="18"/>
  <c r="M70" i="18"/>
  <c r="AF70" i="18" s="1"/>
  <c r="AG66" i="18" s="1"/>
  <c r="AE9" i="18"/>
  <c r="M14" i="18"/>
  <c r="N14" i="18" s="1"/>
  <c r="Q21" i="18"/>
  <c r="AE29" i="18"/>
  <c r="Q34" i="20"/>
  <c r="P34" i="20"/>
  <c r="AD2" i="18"/>
  <c r="N6" i="17" s="1"/>
  <c r="AF29" i="18"/>
  <c r="AE61" i="18"/>
  <c r="N5" i="18"/>
  <c r="N24" i="18"/>
  <c r="N30" i="18"/>
  <c r="N66" i="18"/>
  <c r="Q66" i="18" s="1"/>
  <c r="Q57" i="20"/>
  <c r="P57" i="20"/>
  <c r="N33" i="18"/>
  <c r="N22" i="18"/>
  <c r="Q22" i="18" s="1"/>
  <c r="N26" i="18"/>
  <c r="N60" i="18"/>
  <c r="P62" i="18"/>
  <c r="AE66" i="18"/>
  <c r="AE5" i="18"/>
  <c r="Q32" i="20"/>
  <c r="P32" i="20"/>
  <c r="AE30" i="18"/>
  <c r="M47" i="18"/>
  <c r="N58" i="18"/>
  <c r="Q58" i="18" s="1"/>
  <c r="Q8" i="20"/>
  <c r="P8" i="20"/>
  <c r="AF38" i="18"/>
  <c r="Q16" i="18"/>
  <c r="AE33" i="18"/>
  <c r="Q18" i="18"/>
  <c r="Q41" i="18"/>
  <c r="Q43" i="18"/>
  <c r="AE58" i="18"/>
  <c r="E8" i="27"/>
  <c r="G8" i="27"/>
  <c r="F8" i="27"/>
  <c r="K15" i="25"/>
  <c r="I8" i="25" s="1"/>
  <c r="I7" i="25"/>
  <c r="D15" i="25"/>
  <c r="G7" i="25"/>
  <c r="F7" i="25"/>
  <c r="E7" i="25"/>
  <c r="F14" i="23"/>
  <c r="F15" i="23" s="1"/>
  <c r="Q20" i="24"/>
  <c r="R15" i="24" s="1"/>
  <c r="P20" i="24"/>
  <c r="K14" i="23"/>
  <c r="Q37" i="24"/>
  <c r="R28" i="24" s="1"/>
  <c r="P37" i="24"/>
  <c r="H14" i="23"/>
  <c r="H15" i="23" s="1"/>
  <c r="P56" i="24"/>
  <c r="Q56" i="24"/>
  <c r="R47" i="24" s="1"/>
  <c r="D2" i="24"/>
  <c r="D14" i="23"/>
  <c r="P10" i="24"/>
  <c r="Q10" i="24"/>
  <c r="R5" i="24" s="1"/>
  <c r="Q66" i="24"/>
  <c r="R57" i="24" s="1"/>
  <c r="P66" i="24"/>
  <c r="I14" i="23"/>
  <c r="I15" i="23" s="1"/>
  <c r="L14" i="23"/>
  <c r="L15" i="23" s="1"/>
  <c r="Q46" i="24"/>
  <c r="R38" i="24" s="1"/>
  <c r="P46" i="24"/>
  <c r="Q27" i="24"/>
  <c r="R21" i="24" s="1"/>
  <c r="G14" i="23"/>
  <c r="G15" i="23" s="1"/>
  <c r="P27" i="24"/>
  <c r="J14" i="23"/>
  <c r="J15" i="23" s="1"/>
  <c r="Q71" i="24"/>
  <c r="R67" i="24" s="1"/>
  <c r="P71" i="24"/>
  <c r="Q7" i="20"/>
  <c r="P7" i="20"/>
  <c r="Q62" i="20"/>
  <c r="P62" i="20"/>
  <c r="Q40" i="20"/>
  <c r="P40" i="20"/>
  <c r="Q66" i="20"/>
  <c r="P66" i="20"/>
  <c r="P64" i="20"/>
  <c r="Q64" i="20"/>
  <c r="AF73" i="20"/>
  <c r="AG69" i="20" s="1"/>
  <c r="AE73" i="20"/>
  <c r="N73" i="20"/>
  <c r="N14" i="20"/>
  <c r="AF14" i="20"/>
  <c r="AG11" i="20" s="1"/>
  <c r="AE14" i="20"/>
  <c r="N20" i="20"/>
  <c r="AF20" i="20"/>
  <c r="AG15" i="20" s="1"/>
  <c r="AE20" i="20"/>
  <c r="AF27" i="20"/>
  <c r="AG21" i="20" s="1"/>
  <c r="AE27" i="20"/>
  <c r="N27" i="20"/>
  <c r="N45" i="20"/>
  <c r="AF45" i="20"/>
  <c r="AG38" i="20" s="1"/>
  <c r="AE45" i="20"/>
  <c r="Q11" i="20"/>
  <c r="P11" i="20"/>
  <c r="Q41" i="20"/>
  <c r="P41" i="20"/>
  <c r="Q15" i="20"/>
  <c r="P15" i="20"/>
  <c r="Q21" i="20"/>
  <c r="P21" i="20"/>
  <c r="Q38" i="20"/>
  <c r="P38" i="20"/>
  <c r="Q12" i="20"/>
  <c r="P12" i="20"/>
  <c r="Q59" i="20"/>
  <c r="P59" i="20"/>
  <c r="Q72" i="20"/>
  <c r="P72" i="20"/>
  <c r="AE53" i="20"/>
  <c r="N53" i="20"/>
  <c r="AF53" i="20"/>
  <c r="AG46" i="20" s="1"/>
  <c r="Q13" i="20"/>
  <c r="P13" i="20"/>
  <c r="Q70" i="20"/>
  <c r="P70" i="20"/>
  <c r="Q36" i="20"/>
  <c r="P36" i="20"/>
  <c r="P65" i="20"/>
  <c r="Q65" i="20"/>
  <c r="Q49" i="20"/>
  <c r="P49" i="20"/>
  <c r="Q46" i="20"/>
  <c r="P46" i="20"/>
  <c r="N63" i="20"/>
  <c r="AF63" i="20"/>
  <c r="AG54" i="20" s="1"/>
  <c r="AE63" i="20"/>
  <c r="Q29" i="20"/>
  <c r="P29" i="20"/>
  <c r="N10" i="20"/>
  <c r="AF10" i="20"/>
  <c r="AG5" i="20" s="1"/>
  <c r="AE10" i="20"/>
  <c r="Q26" i="20"/>
  <c r="P26" i="20"/>
  <c r="P58" i="20"/>
  <c r="Q58" i="20"/>
  <c r="P44" i="20"/>
  <c r="Q44" i="20"/>
  <c r="Q60" i="20"/>
  <c r="P60" i="20"/>
  <c r="P19" i="20"/>
  <c r="Q19" i="20"/>
  <c r="P35" i="20"/>
  <c r="Q35" i="20"/>
  <c r="Q67" i="20"/>
  <c r="P67" i="20"/>
  <c r="Q47" i="20"/>
  <c r="P47" i="20"/>
  <c r="Q16" i="20"/>
  <c r="P16" i="20"/>
  <c r="Q39" i="20"/>
  <c r="P39" i="20"/>
  <c r="Q24" i="20"/>
  <c r="P24" i="20"/>
  <c r="Q61" i="20"/>
  <c r="P61" i="20"/>
  <c r="Q48" i="20"/>
  <c r="P48" i="20"/>
  <c r="Q56" i="20"/>
  <c r="P56" i="20"/>
  <c r="Q31" i="20"/>
  <c r="P31" i="20"/>
  <c r="P33" i="20"/>
  <c r="Q33" i="20"/>
  <c r="N68" i="20"/>
  <c r="AF68" i="20"/>
  <c r="AG64" i="20" s="1"/>
  <c r="AE68" i="20"/>
  <c r="Q18" i="20"/>
  <c r="P18" i="20"/>
  <c r="Q22" i="20"/>
  <c r="P22" i="20"/>
  <c r="P42" i="20"/>
  <c r="Q42" i="20"/>
  <c r="N37" i="20"/>
  <c r="AF37" i="20"/>
  <c r="AG28" i="20" s="1"/>
  <c r="AE37" i="20"/>
  <c r="Q28" i="20"/>
  <c r="P28" i="20"/>
  <c r="P9" i="20"/>
  <c r="Q9" i="20"/>
  <c r="Q43" i="20"/>
  <c r="P43" i="20"/>
  <c r="P17" i="20"/>
  <c r="Q17" i="20"/>
  <c r="Q34" i="18"/>
  <c r="P34" i="18"/>
  <c r="AF56" i="18"/>
  <c r="AE56" i="18"/>
  <c r="M65" i="18"/>
  <c r="Q74" i="18"/>
  <c r="P74" i="18"/>
  <c r="P16" i="18"/>
  <c r="P38" i="18"/>
  <c r="P39" i="18"/>
  <c r="Q56" i="18"/>
  <c r="P56" i="18"/>
  <c r="P59" i="18"/>
  <c r="Q33" i="18"/>
  <c r="P33" i="18"/>
  <c r="Q50" i="18"/>
  <c r="P50" i="18"/>
  <c r="AF55" i="18"/>
  <c r="AG48" i="18" s="1"/>
  <c r="AE55" i="18"/>
  <c r="Q71" i="18"/>
  <c r="P71" i="18"/>
  <c r="Q9" i="18"/>
  <c r="P9" i="18"/>
  <c r="N55" i="18"/>
  <c r="AE74" i="18"/>
  <c r="AF31" i="18"/>
  <c r="AE31" i="18"/>
  <c r="N31" i="18"/>
  <c r="AF34" i="18"/>
  <c r="AE34" i="18"/>
  <c r="Q68" i="18"/>
  <c r="P68" i="18"/>
  <c r="M10" i="18"/>
  <c r="AF7" i="18"/>
  <c r="AE7" i="18"/>
  <c r="N7" i="18"/>
  <c r="P15" i="18"/>
  <c r="G6" i="17"/>
  <c r="E6" i="17"/>
  <c r="F6" i="17"/>
  <c r="AF57" i="18"/>
  <c r="AE57" i="18"/>
  <c r="AF74" i="18"/>
  <c r="M76" i="18"/>
  <c r="P14" i="18"/>
  <c r="N57" i="18"/>
  <c r="AF32" i="18"/>
  <c r="AE32" i="18"/>
  <c r="AF8" i="18"/>
  <c r="AE8" i="18"/>
  <c r="N32" i="18"/>
  <c r="P36" i="18"/>
  <c r="P41" i="18"/>
  <c r="Q53" i="18"/>
  <c r="P53" i="18"/>
  <c r="P61" i="18"/>
  <c r="AE71" i="18"/>
  <c r="AE27" i="18"/>
  <c r="N27" i="18"/>
  <c r="M37" i="18"/>
  <c r="N28" i="18"/>
  <c r="P43" i="18"/>
  <c r="AE70" i="18"/>
  <c r="N70" i="18"/>
  <c r="N8" i="18"/>
  <c r="P35" i="18"/>
  <c r="Q35" i="18"/>
  <c r="AF71" i="18"/>
  <c r="AE14" i="18"/>
  <c r="AF15" i="18"/>
  <c r="AF16" i="18"/>
  <c r="AF41" i="18"/>
  <c r="AF43" i="18"/>
  <c r="AF61" i="18"/>
  <c r="AF14" i="18"/>
  <c r="AG11" i="18" s="1"/>
  <c r="M20" i="18"/>
  <c r="AE38" i="18"/>
  <c r="P21" i="18"/>
  <c r="P22" i="18"/>
  <c r="P46" i="18"/>
  <c r="P66" i="18"/>
  <c r="P67" i="18"/>
  <c r="AD65" i="16"/>
  <c r="Z65" i="16"/>
  <c r="Y65" i="16"/>
  <c r="O65" i="16"/>
  <c r="K65" i="16"/>
  <c r="V64" i="16"/>
  <c r="U64" i="16"/>
  <c r="O64" i="16"/>
  <c r="M64" i="16"/>
  <c r="AE64" i="16" s="1"/>
  <c r="K64" i="16"/>
  <c r="G64" i="16"/>
  <c r="V63" i="16"/>
  <c r="M63" i="16" s="1"/>
  <c r="U63" i="16"/>
  <c r="O63" i="16"/>
  <c r="K63" i="16"/>
  <c r="G63" i="16"/>
  <c r="V62" i="16"/>
  <c r="M62" i="16" s="1"/>
  <c r="N62" i="16" s="1"/>
  <c r="U62" i="16"/>
  <c r="O62" i="16"/>
  <c r="K62" i="16"/>
  <c r="G62" i="16"/>
  <c r="X61" i="16"/>
  <c r="W61" i="16"/>
  <c r="V61" i="16"/>
  <c r="M61" i="16" s="1"/>
  <c r="N61" i="16" s="1"/>
  <c r="O61" i="16"/>
  <c r="K61" i="16"/>
  <c r="G61" i="16"/>
  <c r="AD60" i="16"/>
  <c r="Z60" i="16"/>
  <c r="Y60" i="16"/>
  <c r="O60" i="16"/>
  <c r="K60" i="16"/>
  <c r="V59" i="16"/>
  <c r="M59" i="16" s="1"/>
  <c r="N59" i="16" s="1"/>
  <c r="U59" i="16"/>
  <c r="O59" i="16"/>
  <c r="K59" i="16"/>
  <c r="G59" i="16"/>
  <c r="V58" i="16"/>
  <c r="M58" i="16" s="1"/>
  <c r="U58" i="16"/>
  <c r="O58" i="16"/>
  <c r="K58" i="16"/>
  <c r="G58" i="16"/>
  <c r="V57" i="16"/>
  <c r="M57" i="16" s="1"/>
  <c r="U57" i="16"/>
  <c r="O57" i="16"/>
  <c r="K57" i="16"/>
  <c r="G57" i="16"/>
  <c r="V56" i="16"/>
  <c r="M56" i="16" s="1"/>
  <c r="O56" i="16"/>
  <c r="K56" i="16"/>
  <c r="G56" i="16"/>
  <c r="AD55" i="16"/>
  <c r="I21" i="15" s="1"/>
  <c r="Z55" i="16"/>
  <c r="Y55" i="16"/>
  <c r="O55" i="16"/>
  <c r="K55" i="16"/>
  <c r="V54" i="16"/>
  <c r="M54" i="16" s="1"/>
  <c r="U54" i="16"/>
  <c r="O54" i="16"/>
  <c r="K54" i="16"/>
  <c r="G54" i="16"/>
  <c r="V53" i="16"/>
  <c r="M53" i="16" s="1"/>
  <c r="U53" i="16"/>
  <c r="O53" i="16"/>
  <c r="K53" i="16"/>
  <c r="G53" i="16"/>
  <c r="V52" i="16"/>
  <c r="M52" i="16" s="1"/>
  <c r="U52" i="16"/>
  <c r="O52" i="16"/>
  <c r="K52" i="16"/>
  <c r="G52" i="16"/>
  <c r="V51" i="16"/>
  <c r="M51" i="16" s="1"/>
  <c r="AF51" i="16" s="1"/>
  <c r="U51" i="16"/>
  <c r="O51" i="16"/>
  <c r="K51" i="16"/>
  <c r="G51" i="16"/>
  <c r="V50" i="16"/>
  <c r="M50" i="16" s="1"/>
  <c r="U50" i="16"/>
  <c r="O50" i="16"/>
  <c r="K50" i="16"/>
  <c r="G50" i="16"/>
  <c r="V49" i="16"/>
  <c r="U49" i="16"/>
  <c r="O49" i="16"/>
  <c r="M49" i="16"/>
  <c r="AF49" i="16" s="1"/>
  <c r="K49" i="16"/>
  <c r="G49" i="16"/>
  <c r="V48" i="16"/>
  <c r="U48" i="16"/>
  <c r="O48" i="16"/>
  <c r="M48" i="16"/>
  <c r="AE48" i="16" s="1"/>
  <c r="K48" i="16"/>
  <c r="G48" i="16"/>
  <c r="V47" i="16"/>
  <c r="O47" i="16"/>
  <c r="M47" i="16"/>
  <c r="AE47" i="16" s="1"/>
  <c r="K47" i="16"/>
  <c r="G47" i="16"/>
  <c r="AD46" i="16"/>
  <c r="Z46" i="16"/>
  <c r="Y46" i="16"/>
  <c r="O46" i="16"/>
  <c r="K46" i="16"/>
  <c r="V45" i="16"/>
  <c r="U45" i="16"/>
  <c r="O45" i="16"/>
  <c r="M45" i="16"/>
  <c r="N45" i="16" s="1"/>
  <c r="K45" i="16"/>
  <c r="G45" i="16"/>
  <c r="V44" i="16"/>
  <c r="M44" i="16" s="1"/>
  <c r="U44" i="16"/>
  <c r="O44" i="16"/>
  <c r="K44" i="16"/>
  <c r="G44" i="16"/>
  <c r="V43" i="16"/>
  <c r="M43" i="16" s="1"/>
  <c r="U43" i="16"/>
  <c r="O43" i="16"/>
  <c r="K43" i="16"/>
  <c r="G43" i="16"/>
  <c r="V42" i="16"/>
  <c r="M42" i="16" s="1"/>
  <c r="U42" i="16"/>
  <c r="O42" i="16"/>
  <c r="K42" i="16"/>
  <c r="G42" i="16"/>
  <c r="X41" i="16"/>
  <c r="W41" i="16"/>
  <c r="V41" i="16"/>
  <c r="M41" i="16" s="1"/>
  <c r="U41" i="16"/>
  <c r="O41" i="16"/>
  <c r="K41" i="16"/>
  <c r="G41" i="16"/>
  <c r="V40" i="16"/>
  <c r="M40" i="16" s="1"/>
  <c r="O40" i="16"/>
  <c r="K40" i="16"/>
  <c r="G40" i="16"/>
  <c r="AD39" i="16"/>
  <c r="L21" i="15" s="1"/>
  <c r="Z39" i="16"/>
  <c r="Y39" i="16"/>
  <c r="O39" i="16"/>
  <c r="K39" i="16"/>
  <c r="V38" i="16"/>
  <c r="M38" i="16" s="1"/>
  <c r="U38" i="16"/>
  <c r="O38" i="16"/>
  <c r="K38" i="16"/>
  <c r="G38" i="16"/>
  <c r="X37" i="16"/>
  <c r="W37" i="16"/>
  <c r="V37" i="16"/>
  <c r="M37" i="16" s="1"/>
  <c r="U37" i="16"/>
  <c r="O37" i="16"/>
  <c r="K37" i="16"/>
  <c r="G37" i="16"/>
  <c r="V36" i="16"/>
  <c r="M36" i="16" s="1"/>
  <c r="U36" i="16"/>
  <c r="O36" i="16"/>
  <c r="K36" i="16"/>
  <c r="G36" i="16"/>
  <c r="V35" i="16"/>
  <c r="M35" i="16" s="1"/>
  <c r="U35" i="16"/>
  <c r="O35" i="16"/>
  <c r="K35" i="16"/>
  <c r="G35" i="16"/>
  <c r="V34" i="16"/>
  <c r="M34" i="16" s="1"/>
  <c r="U34" i="16"/>
  <c r="O34" i="16"/>
  <c r="K34" i="16"/>
  <c r="G34" i="16"/>
  <c r="X33" i="16"/>
  <c r="W33" i="16"/>
  <c r="V33" i="16"/>
  <c r="M33" i="16" s="1"/>
  <c r="O33" i="16"/>
  <c r="K33" i="16"/>
  <c r="G33" i="16"/>
  <c r="AD32" i="16"/>
  <c r="Z32" i="16"/>
  <c r="K19" i="15" s="1"/>
  <c r="Y32" i="16"/>
  <c r="K18" i="15" s="1"/>
  <c r="O32" i="16"/>
  <c r="K32" i="16"/>
  <c r="V31" i="16"/>
  <c r="M31" i="16" s="1"/>
  <c r="U31" i="16"/>
  <c r="O31" i="16"/>
  <c r="K31" i="16"/>
  <c r="G31" i="16"/>
  <c r="V30" i="16"/>
  <c r="M30" i="16" s="1"/>
  <c r="AF30" i="16" s="1"/>
  <c r="U30" i="16"/>
  <c r="O30" i="16"/>
  <c r="K30" i="16"/>
  <c r="G30" i="16"/>
  <c r="V29" i="16"/>
  <c r="M29" i="16" s="1"/>
  <c r="U29" i="16"/>
  <c r="O29" i="16"/>
  <c r="K29" i="16"/>
  <c r="G29" i="16"/>
  <c r="V28" i="16"/>
  <c r="U28" i="16"/>
  <c r="O28" i="16"/>
  <c r="M28" i="16"/>
  <c r="AF28" i="16" s="1"/>
  <c r="K28" i="16"/>
  <c r="G28" i="16"/>
  <c r="V27" i="16"/>
  <c r="M27" i="16" s="1"/>
  <c r="AE27" i="16" s="1"/>
  <c r="U27" i="16"/>
  <c r="O27" i="16"/>
  <c r="K27" i="16"/>
  <c r="G27" i="16"/>
  <c r="X26" i="16"/>
  <c r="W26" i="16"/>
  <c r="V26" i="16"/>
  <c r="M26" i="16" s="1"/>
  <c r="O26" i="16"/>
  <c r="K26" i="16"/>
  <c r="G26" i="16"/>
  <c r="AD25" i="16"/>
  <c r="Z25" i="16"/>
  <c r="Y25" i="16"/>
  <c r="O25" i="16"/>
  <c r="K25" i="16"/>
  <c r="V24" i="16"/>
  <c r="U24" i="16"/>
  <c r="O24" i="16"/>
  <c r="M24" i="16"/>
  <c r="AE24" i="16" s="1"/>
  <c r="K24" i="16"/>
  <c r="G24" i="16"/>
  <c r="V23" i="16"/>
  <c r="M23" i="16" s="1"/>
  <c r="U23" i="16"/>
  <c r="O23" i="16"/>
  <c r="K23" i="16"/>
  <c r="G23" i="16"/>
  <c r="V22" i="16"/>
  <c r="M22" i="16" s="1"/>
  <c r="N22" i="16" s="1"/>
  <c r="U22" i="16"/>
  <c r="O22" i="16"/>
  <c r="K22" i="16"/>
  <c r="G22" i="16"/>
  <c r="V21" i="16"/>
  <c r="M21" i="16" s="1"/>
  <c r="U21" i="16"/>
  <c r="O21" i="16"/>
  <c r="K21" i="16"/>
  <c r="G21" i="16"/>
  <c r="V20" i="16"/>
  <c r="M20" i="16" s="1"/>
  <c r="O20" i="16"/>
  <c r="K20" i="16"/>
  <c r="G20" i="16"/>
  <c r="AD19" i="16"/>
  <c r="Z19" i="16"/>
  <c r="Y19" i="16"/>
  <c r="O19" i="16"/>
  <c r="K19" i="16"/>
  <c r="V18" i="16"/>
  <c r="M18" i="16" s="1"/>
  <c r="U18" i="16"/>
  <c r="O18" i="16"/>
  <c r="K18" i="16"/>
  <c r="G18" i="16"/>
  <c r="V17" i="16"/>
  <c r="M17" i="16" s="1"/>
  <c r="U17" i="16"/>
  <c r="O17" i="16"/>
  <c r="K17" i="16"/>
  <c r="G17" i="16"/>
  <c r="V16" i="16"/>
  <c r="M16" i="16" s="1"/>
  <c r="U16" i="16"/>
  <c r="O16" i="16"/>
  <c r="K16" i="16"/>
  <c r="G16" i="16"/>
  <c r="V15" i="16"/>
  <c r="M15" i="16" s="1"/>
  <c r="O15" i="16"/>
  <c r="K15" i="16"/>
  <c r="G15" i="16"/>
  <c r="AD14" i="16"/>
  <c r="AD2" i="16" s="1"/>
  <c r="N6" i="15" s="1"/>
  <c r="Z14" i="16"/>
  <c r="Z2" i="16" s="1"/>
  <c r="L6" i="15" s="1"/>
  <c r="Y14" i="16"/>
  <c r="E18" i="15" s="1"/>
  <c r="O14" i="16"/>
  <c r="K14" i="16"/>
  <c r="V13" i="16"/>
  <c r="U13" i="16"/>
  <c r="O13" i="16"/>
  <c r="M13" i="16"/>
  <c r="AF13" i="16" s="1"/>
  <c r="K13" i="16"/>
  <c r="G13" i="16"/>
  <c r="V12" i="16"/>
  <c r="M12" i="16" s="1"/>
  <c r="M14" i="16" s="1"/>
  <c r="O12" i="16"/>
  <c r="K12" i="16"/>
  <c r="G12" i="16"/>
  <c r="AD11" i="16"/>
  <c r="Z11" i="16"/>
  <c r="Y11" i="16"/>
  <c r="O11" i="16"/>
  <c r="K11" i="16"/>
  <c r="V10" i="16"/>
  <c r="M10" i="16" s="1"/>
  <c r="AF10" i="16" s="1"/>
  <c r="U10" i="16"/>
  <c r="O10" i="16"/>
  <c r="K10" i="16"/>
  <c r="G10" i="16"/>
  <c r="V9" i="16"/>
  <c r="U9" i="16"/>
  <c r="O9" i="16"/>
  <c r="M9" i="16"/>
  <c r="AE9" i="16" s="1"/>
  <c r="K9" i="16"/>
  <c r="G9" i="16"/>
  <c r="V8" i="16"/>
  <c r="M8" i="16" s="1"/>
  <c r="U8" i="16"/>
  <c r="O8" i="16"/>
  <c r="K8" i="16"/>
  <c r="G8" i="16"/>
  <c r="V7" i="16"/>
  <c r="M7" i="16" s="1"/>
  <c r="N7" i="16" s="1"/>
  <c r="U7" i="16"/>
  <c r="O7" i="16"/>
  <c r="K7" i="16"/>
  <c r="G7" i="16"/>
  <c r="V6" i="16"/>
  <c r="M6" i="16" s="1"/>
  <c r="U6" i="16"/>
  <c r="O6" i="16"/>
  <c r="K6" i="16"/>
  <c r="G6" i="16"/>
  <c r="V5" i="16"/>
  <c r="M5" i="16" s="1"/>
  <c r="O5" i="16"/>
  <c r="K5" i="16"/>
  <c r="G5" i="16"/>
  <c r="H2" i="16"/>
  <c r="H1" i="16"/>
  <c r="D1" i="16"/>
  <c r="M22" i="15"/>
  <c r="L22" i="15"/>
  <c r="K22" i="15"/>
  <c r="J22" i="15"/>
  <c r="I22" i="15"/>
  <c r="H22" i="15"/>
  <c r="G22" i="15"/>
  <c r="F22" i="15"/>
  <c r="E22" i="15"/>
  <c r="D22" i="15"/>
  <c r="M21" i="15"/>
  <c r="K21" i="15"/>
  <c r="J21" i="15"/>
  <c r="H21" i="15"/>
  <c r="G21" i="15"/>
  <c r="F21" i="15"/>
  <c r="D21" i="15"/>
  <c r="M20" i="15"/>
  <c r="L20" i="15"/>
  <c r="K20" i="15"/>
  <c r="J20" i="15"/>
  <c r="I20" i="15"/>
  <c r="H20" i="15"/>
  <c r="G20" i="15"/>
  <c r="F20" i="15"/>
  <c r="E20" i="15"/>
  <c r="D20" i="15"/>
  <c r="M19" i="15"/>
  <c r="L19" i="15"/>
  <c r="J19" i="15"/>
  <c r="I19" i="15"/>
  <c r="H19" i="15"/>
  <c r="G19" i="15"/>
  <c r="F19" i="15"/>
  <c r="D19" i="15"/>
  <c r="M18" i="15"/>
  <c r="L18" i="15"/>
  <c r="J18" i="15"/>
  <c r="I18" i="15"/>
  <c r="H18" i="15"/>
  <c r="G18" i="15"/>
  <c r="F18" i="15"/>
  <c r="D18" i="15"/>
  <c r="M17" i="15"/>
  <c r="L17" i="15"/>
  <c r="K17" i="15"/>
  <c r="J17" i="15"/>
  <c r="I17" i="15"/>
  <c r="H17" i="15"/>
  <c r="G17" i="15"/>
  <c r="F17" i="15"/>
  <c r="E17" i="15"/>
  <c r="D17" i="15"/>
  <c r="M16" i="15"/>
  <c r="L16" i="15"/>
  <c r="K16" i="15"/>
  <c r="J16" i="15"/>
  <c r="I16" i="15"/>
  <c r="H16" i="15"/>
  <c r="G16" i="15"/>
  <c r="F16" i="15"/>
  <c r="E16" i="15"/>
  <c r="D16" i="15"/>
  <c r="M13" i="15"/>
  <c r="L13" i="15"/>
  <c r="K13" i="15"/>
  <c r="I6" i="15" s="1"/>
  <c r="J13" i="15"/>
  <c r="I13" i="15"/>
  <c r="H13" i="15"/>
  <c r="G6" i="15" s="1"/>
  <c r="G13" i="15"/>
  <c r="F13" i="15"/>
  <c r="E13" i="15"/>
  <c r="D13" i="15"/>
  <c r="M6" i="15"/>
  <c r="F3" i="15"/>
  <c r="C3" i="15"/>
  <c r="AE8" i="16" l="1"/>
  <c r="AF8" i="16"/>
  <c r="N8" i="16"/>
  <c r="Q8" i="16" s="1"/>
  <c r="AE63" i="16"/>
  <c r="N63" i="16"/>
  <c r="Q63" i="16" s="1"/>
  <c r="AF63" i="16"/>
  <c r="AF50" i="16"/>
  <c r="N50" i="16"/>
  <c r="Q50" i="16" s="1"/>
  <c r="AF29" i="16"/>
  <c r="N29" i="16"/>
  <c r="Q29" i="16" s="1"/>
  <c r="AE26" i="16"/>
  <c r="N26" i="16"/>
  <c r="Q26" i="16" s="1"/>
  <c r="AE23" i="16"/>
  <c r="AF23" i="16"/>
  <c r="N23" i="16"/>
  <c r="Q23" i="16" s="1"/>
  <c r="Q40" i="18"/>
  <c r="P40" i="18"/>
  <c r="Q42" i="18"/>
  <c r="P42" i="18"/>
  <c r="N47" i="18"/>
  <c r="AE47" i="18"/>
  <c r="AF47" i="18"/>
  <c r="AG38" i="18" s="1"/>
  <c r="P25" i="18"/>
  <c r="Q25" i="18"/>
  <c r="P52" i="18"/>
  <c r="Q52" i="18"/>
  <c r="Q14" i="18"/>
  <c r="R11" i="18" s="1"/>
  <c r="E14" i="17"/>
  <c r="E15" i="17" s="1"/>
  <c r="P73" i="18"/>
  <c r="Q73" i="18"/>
  <c r="P12" i="18"/>
  <c r="Q12" i="18"/>
  <c r="Q60" i="18"/>
  <c r="P60" i="18"/>
  <c r="P58" i="18"/>
  <c r="Q26" i="18"/>
  <c r="P26" i="18"/>
  <c r="P54" i="18"/>
  <c r="Q54" i="18"/>
  <c r="Q48" i="18"/>
  <c r="P48" i="18"/>
  <c r="Q44" i="18"/>
  <c r="P44" i="18"/>
  <c r="Y2" i="16"/>
  <c r="K6" i="15" s="1"/>
  <c r="P6" i="18"/>
  <c r="Q6" i="18"/>
  <c r="E19" i="15"/>
  <c r="E21" i="15"/>
  <c r="Q19" i="18"/>
  <c r="P19" i="18"/>
  <c r="F1" i="16"/>
  <c r="F2" i="16" s="1"/>
  <c r="Q13" i="18"/>
  <c r="P13" i="18"/>
  <c r="Q17" i="18"/>
  <c r="P17" i="18"/>
  <c r="P30" i="18"/>
  <c r="Q30" i="18"/>
  <c r="Q24" i="18"/>
  <c r="P24" i="18"/>
  <c r="P23" i="18"/>
  <c r="P5" i="18"/>
  <c r="Q5" i="18"/>
  <c r="F8" i="25"/>
  <c r="G8" i="25"/>
  <c r="E8" i="25"/>
  <c r="G7" i="23"/>
  <c r="F7" i="23"/>
  <c r="E7" i="23"/>
  <c r="D15" i="23"/>
  <c r="I7" i="23"/>
  <c r="K15" i="23"/>
  <c r="I8" i="23" s="1"/>
  <c r="Q68" i="20"/>
  <c r="R64" i="20" s="1"/>
  <c r="P68" i="20"/>
  <c r="J14" i="19"/>
  <c r="J15" i="19" s="1"/>
  <c r="Q73" i="20"/>
  <c r="R69" i="20" s="1"/>
  <c r="P73" i="20"/>
  <c r="M14" i="19"/>
  <c r="M15" i="19" s="1"/>
  <c r="K14" i="19"/>
  <c r="Q37" i="20"/>
  <c r="R28" i="20" s="1"/>
  <c r="P37" i="20"/>
  <c r="Q27" i="20"/>
  <c r="R21" i="20" s="1"/>
  <c r="P27" i="20"/>
  <c r="G14" i="19"/>
  <c r="G15" i="19" s="1"/>
  <c r="P63" i="20"/>
  <c r="I14" i="19"/>
  <c r="I15" i="19" s="1"/>
  <c r="Q63" i="20"/>
  <c r="R54" i="20" s="1"/>
  <c r="Q20" i="20"/>
  <c r="R15" i="20" s="1"/>
  <c r="P20" i="20"/>
  <c r="F14" i="19"/>
  <c r="F15" i="19" s="1"/>
  <c r="Q53" i="20"/>
  <c r="R46" i="20" s="1"/>
  <c r="P53" i="20"/>
  <c r="H14" i="19"/>
  <c r="H15" i="19" s="1"/>
  <c r="Q45" i="20"/>
  <c r="R38" i="20" s="1"/>
  <c r="P45" i="20"/>
  <c r="L14" i="19"/>
  <c r="L15" i="19" s="1"/>
  <c r="D2" i="20"/>
  <c r="Q10" i="20"/>
  <c r="R5" i="20" s="1"/>
  <c r="D14" i="19"/>
  <c r="P10" i="20"/>
  <c r="E14" i="19"/>
  <c r="E15" i="19" s="1"/>
  <c r="Q14" i="20"/>
  <c r="R11" i="20" s="1"/>
  <c r="P14" i="20"/>
  <c r="Q8" i="18"/>
  <c r="P8" i="18"/>
  <c r="Q55" i="18"/>
  <c r="R48" i="18" s="1"/>
  <c r="P55" i="18"/>
  <c r="H14" i="17"/>
  <c r="H15" i="17" s="1"/>
  <c r="AF76" i="18"/>
  <c r="AG71" i="18" s="1"/>
  <c r="AE76" i="18"/>
  <c r="N76" i="18"/>
  <c r="N20" i="18"/>
  <c r="AF20" i="18"/>
  <c r="AG15" i="18" s="1"/>
  <c r="AE20" i="18"/>
  <c r="Q70" i="18"/>
  <c r="R66" i="18" s="1"/>
  <c r="P70" i="18"/>
  <c r="J14" i="17"/>
  <c r="J15" i="17" s="1"/>
  <c r="AF10" i="18"/>
  <c r="AG5" i="18" s="1"/>
  <c r="AE10" i="18"/>
  <c r="N10" i="18"/>
  <c r="Q31" i="18"/>
  <c r="P31" i="18"/>
  <c r="Q27" i="18"/>
  <c r="R21" i="18" s="1"/>
  <c r="P27" i="18"/>
  <c r="G14" i="17"/>
  <c r="G15" i="17" s="1"/>
  <c r="Q57" i="18"/>
  <c r="P57" i="18"/>
  <c r="Q7" i="18"/>
  <c r="P7" i="18"/>
  <c r="Q32" i="18"/>
  <c r="P32" i="18"/>
  <c r="Q28" i="18"/>
  <c r="P28" i="18"/>
  <c r="N65" i="18"/>
  <c r="AF65" i="18"/>
  <c r="AG56" i="18" s="1"/>
  <c r="AE65" i="18"/>
  <c r="N37" i="18"/>
  <c r="AF37" i="18"/>
  <c r="AG28" i="18" s="1"/>
  <c r="AE37" i="18"/>
  <c r="Q22" i="16"/>
  <c r="P22" i="16"/>
  <c r="AF31" i="16"/>
  <c r="AE31" i="16"/>
  <c r="N31" i="16"/>
  <c r="N17" i="16"/>
  <c r="AF17" i="16"/>
  <c r="AE17" i="16"/>
  <c r="N36" i="16"/>
  <c r="AF36" i="16"/>
  <c r="AE36" i="16"/>
  <c r="N38" i="16"/>
  <c r="AF38" i="16"/>
  <c r="AE38" i="16"/>
  <c r="N56" i="16"/>
  <c r="M60" i="16"/>
  <c r="AF56" i="16"/>
  <c r="AE56" i="16"/>
  <c r="Q7" i="16"/>
  <c r="P7" i="16"/>
  <c r="M19" i="16"/>
  <c r="AF15" i="16"/>
  <c r="AE15" i="16"/>
  <c r="N15" i="16"/>
  <c r="N20" i="16"/>
  <c r="AF20" i="16"/>
  <c r="M25" i="16"/>
  <c r="AE20" i="16"/>
  <c r="AF34" i="16"/>
  <c r="AE34" i="16"/>
  <c r="N34" i="16"/>
  <c r="N41" i="16"/>
  <c r="AF41" i="16"/>
  <c r="AE41" i="16"/>
  <c r="N43" i="16"/>
  <c r="AF43" i="16"/>
  <c r="AE43" i="16"/>
  <c r="I3" i="15"/>
  <c r="N18" i="16"/>
  <c r="AF18" i="16"/>
  <c r="AE18" i="16"/>
  <c r="N37" i="16"/>
  <c r="AF37" i="16"/>
  <c r="AE37" i="16"/>
  <c r="N5" i="16"/>
  <c r="AF5" i="16"/>
  <c r="AE5" i="16"/>
  <c r="M11" i="16"/>
  <c r="AF16" i="16"/>
  <c r="AE16" i="16"/>
  <c r="N16" i="16"/>
  <c r="N21" i="16"/>
  <c r="AF21" i="16"/>
  <c r="AE21" i="16"/>
  <c r="AF35" i="16"/>
  <c r="AE35" i="16"/>
  <c r="N35" i="16"/>
  <c r="Q62" i="16"/>
  <c r="P62" i="16"/>
  <c r="N33" i="16"/>
  <c r="M39" i="16"/>
  <c r="AF33" i="16"/>
  <c r="AE33" i="16"/>
  <c r="N44" i="16"/>
  <c r="AF44" i="16"/>
  <c r="AE44" i="16"/>
  <c r="AF14" i="16"/>
  <c r="AG12" i="16" s="1"/>
  <c r="AE14" i="16"/>
  <c r="N14" i="16"/>
  <c r="N40" i="16"/>
  <c r="M46" i="16"/>
  <c r="AF40" i="16"/>
  <c r="AE40" i="16"/>
  <c r="N42" i="16"/>
  <c r="AF42" i="16"/>
  <c r="AE42" i="16"/>
  <c r="N58" i="16"/>
  <c r="AF58" i="16"/>
  <c r="AE58" i="16"/>
  <c r="Q61" i="16"/>
  <c r="P61" i="16"/>
  <c r="AF53" i="16"/>
  <c r="AE53" i="16"/>
  <c r="N53" i="16"/>
  <c r="Q59" i="16"/>
  <c r="P59" i="16"/>
  <c r="N54" i="16"/>
  <c r="AF54" i="16"/>
  <c r="AE54" i="16"/>
  <c r="Q45" i="16"/>
  <c r="P45" i="16"/>
  <c r="N6" i="16"/>
  <c r="AF6" i="16"/>
  <c r="AE6" i="16"/>
  <c r="AF52" i="16"/>
  <c r="AE52" i="16"/>
  <c r="N52" i="16"/>
  <c r="N57" i="16"/>
  <c r="AF57" i="16"/>
  <c r="AE57" i="16"/>
  <c r="AF9" i="16"/>
  <c r="AF24" i="16"/>
  <c r="AF26" i="16"/>
  <c r="AF27" i="16"/>
  <c r="AF47" i="16"/>
  <c r="AF48" i="16"/>
  <c r="AF64" i="16"/>
  <c r="AE7" i="16"/>
  <c r="AE22" i="16"/>
  <c r="AE45" i="16"/>
  <c r="AE59" i="16"/>
  <c r="AE61" i="16"/>
  <c r="AE62" i="16"/>
  <c r="AF7" i="16"/>
  <c r="N12" i="16"/>
  <c r="N13" i="16"/>
  <c r="AF22" i="16"/>
  <c r="N30" i="16"/>
  <c r="AF45" i="16"/>
  <c r="N51" i="16"/>
  <c r="AF59" i="16"/>
  <c r="AF61" i="16"/>
  <c r="AF62" i="16"/>
  <c r="M65" i="16"/>
  <c r="F6" i="15"/>
  <c r="N10" i="16"/>
  <c r="N28" i="16"/>
  <c r="N49" i="16"/>
  <c r="N9" i="16"/>
  <c r="N24" i="16"/>
  <c r="P26" i="16"/>
  <c r="N27" i="16"/>
  <c r="P29" i="16"/>
  <c r="N47" i="16"/>
  <c r="N48" i="16"/>
  <c r="P50" i="16"/>
  <c r="N64" i="16"/>
  <c r="E6" i="15"/>
  <c r="P8" i="16"/>
  <c r="AE12" i="16"/>
  <c r="AE13" i="16"/>
  <c r="AE30" i="16"/>
  <c r="AE51" i="16"/>
  <c r="M55" i="16"/>
  <c r="P63" i="16"/>
  <c r="AF12" i="16"/>
  <c r="AE29" i="16"/>
  <c r="AE50" i="16"/>
  <c r="AE10" i="16"/>
  <c r="AE28" i="16"/>
  <c r="M32" i="16"/>
  <c r="AE49" i="16"/>
  <c r="AD64" i="14"/>
  <c r="Z64" i="14"/>
  <c r="Y64" i="14"/>
  <c r="O64" i="14"/>
  <c r="K64" i="14"/>
  <c r="V63" i="14"/>
  <c r="M63" i="14" s="1"/>
  <c r="N63" i="14" s="1"/>
  <c r="U63" i="14"/>
  <c r="O63" i="14"/>
  <c r="K63" i="14"/>
  <c r="G63" i="14"/>
  <c r="V62" i="14"/>
  <c r="U62" i="14"/>
  <c r="O62" i="14"/>
  <c r="M62" i="14"/>
  <c r="AF62" i="14" s="1"/>
  <c r="K62" i="14"/>
  <c r="G62" i="14"/>
  <c r="V61" i="14"/>
  <c r="M61" i="14" s="1"/>
  <c r="N61" i="14" s="1"/>
  <c r="Q61" i="14" s="1"/>
  <c r="U61" i="14"/>
  <c r="P61" i="14"/>
  <c r="O61" i="14"/>
  <c r="K61" i="14"/>
  <c r="G61" i="14"/>
  <c r="X60" i="14"/>
  <c r="W60" i="14"/>
  <c r="V60" i="14"/>
  <c r="M60" i="14" s="1"/>
  <c r="O60" i="14"/>
  <c r="K60" i="14"/>
  <c r="G60" i="14"/>
  <c r="AD59" i="14"/>
  <c r="Z59" i="14"/>
  <c r="Y59" i="14"/>
  <c r="O59" i="14"/>
  <c r="K59" i="14"/>
  <c r="V58" i="14"/>
  <c r="U58" i="14"/>
  <c r="O58" i="14"/>
  <c r="M58" i="14"/>
  <c r="N58" i="14" s="1"/>
  <c r="P58" i="14" s="1"/>
  <c r="K58" i="14"/>
  <c r="G58" i="14"/>
  <c r="V57" i="14"/>
  <c r="M57" i="14" s="1"/>
  <c r="U57" i="14"/>
  <c r="O57" i="14"/>
  <c r="K57" i="14"/>
  <c r="G57" i="14"/>
  <c r="V56" i="14"/>
  <c r="M56" i="14" s="1"/>
  <c r="N56" i="14" s="1"/>
  <c r="Q56" i="14" s="1"/>
  <c r="U56" i="14"/>
  <c r="O56" i="14"/>
  <c r="K56" i="14"/>
  <c r="G56" i="14"/>
  <c r="V55" i="14"/>
  <c r="M55" i="14" s="1"/>
  <c r="U55" i="14"/>
  <c r="O55" i="14"/>
  <c r="K55" i="14"/>
  <c r="G55" i="14"/>
  <c r="AE54" i="14"/>
  <c r="V54" i="14"/>
  <c r="M54" i="14" s="1"/>
  <c r="N54" i="14" s="1"/>
  <c r="Q54" i="14" s="1"/>
  <c r="P54" i="14"/>
  <c r="O54" i="14"/>
  <c r="K54" i="14"/>
  <c r="G54" i="14"/>
  <c r="AD53" i="14"/>
  <c r="Z53" i="14"/>
  <c r="Y53" i="14"/>
  <c r="O53" i="14"/>
  <c r="K53" i="14"/>
  <c r="AF52" i="14"/>
  <c r="AE52" i="14"/>
  <c r="V52" i="14"/>
  <c r="M52" i="14" s="1"/>
  <c r="N52" i="14" s="1"/>
  <c r="U52" i="14"/>
  <c r="O52" i="14"/>
  <c r="K52" i="14"/>
  <c r="G52" i="14"/>
  <c r="V51" i="14"/>
  <c r="M51" i="14" s="1"/>
  <c r="U51" i="14"/>
  <c r="O51" i="14"/>
  <c r="K51" i="14"/>
  <c r="G51" i="14"/>
  <c r="V50" i="14"/>
  <c r="M50" i="14" s="1"/>
  <c r="U50" i="14"/>
  <c r="O50" i="14"/>
  <c r="K50" i="14"/>
  <c r="G50" i="14"/>
  <c r="V49" i="14"/>
  <c r="U49" i="14"/>
  <c r="O49" i="14"/>
  <c r="M49" i="14"/>
  <c r="N49" i="14" s="1"/>
  <c r="Q49" i="14" s="1"/>
  <c r="K49" i="14"/>
  <c r="G49" i="14"/>
  <c r="V48" i="14"/>
  <c r="M48" i="14" s="1"/>
  <c r="U48" i="14"/>
  <c r="O48" i="14"/>
  <c r="K48" i="14"/>
  <c r="G48" i="14"/>
  <c r="V47" i="14"/>
  <c r="M47" i="14" s="1"/>
  <c r="U47" i="14"/>
  <c r="O47" i="14"/>
  <c r="K47" i="14"/>
  <c r="G47" i="14"/>
  <c r="V46" i="14"/>
  <c r="M46" i="14" s="1"/>
  <c r="AF46" i="14" s="1"/>
  <c r="U46" i="14"/>
  <c r="O46" i="14"/>
  <c r="K46" i="14"/>
  <c r="G46" i="14"/>
  <c r="AF45" i="14"/>
  <c r="AE45" i="14"/>
  <c r="V45" i="14"/>
  <c r="M45" i="14" s="1"/>
  <c r="N45" i="14" s="1"/>
  <c r="O45" i="14"/>
  <c r="K45" i="14"/>
  <c r="Q45" i="14" s="1"/>
  <c r="G45" i="14"/>
  <c r="AD44" i="14"/>
  <c r="H21" i="13" s="1"/>
  <c r="Z44" i="14"/>
  <c r="H19" i="13" s="1"/>
  <c r="Y44" i="14"/>
  <c r="O44" i="14"/>
  <c r="K44" i="14"/>
  <c r="AF43" i="14"/>
  <c r="V43" i="14"/>
  <c r="M43" i="14" s="1"/>
  <c r="N43" i="14" s="1"/>
  <c r="U43" i="14"/>
  <c r="O43" i="14"/>
  <c r="K43" i="14"/>
  <c r="G43" i="14"/>
  <c r="V42" i="14"/>
  <c r="U42" i="14"/>
  <c r="O42" i="14"/>
  <c r="M42" i="14"/>
  <c r="AE42" i="14" s="1"/>
  <c r="K42" i="14"/>
  <c r="G42" i="14"/>
  <c r="V41" i="14"/>
  <c r="M41" i="14" s="1"/>
  <c r="U41" i="14"/>
  <c r="O41" i="14"/>
  <c r="K41" i="14"/>
  <c r="G41" i="14"/>
  <c r="V40" i="14"/>
  <c r="U40" i="14"/>
  <c r="O40" i="14"/>
  <c r="M40" i="14"/>
  <c r="N40" i="14" s="1"/>
  <c r="Q40" i="14" s="1"/>
  <c r="K40" i="14"/>
  <c r="G40" i="14"/>
  <c r="X39" i="14"/>
  <c r="W39" i="14"/>
  <c r="V39" i="14"/>
  <c r="M39" i="14" s="1"/>
  <c r="AF39" i="14" s="1"/>
  <c r="U39" i="14"/>
  <c r="O39" i="14"/>
  <c r="K39" i="14"/>
  <c r="G39" i="14"/>
  <c r="AF38" i="14"/>
  <c r="AE38" i="14"/>
  <c r="V38" i="14"/>
  <c r="M38" i="14" s="1"/>
  <c r="N38" i="14" s="1"/>
  <c r="Q38" i="14"/>
  <c r="P38" i="14"/>
  <c r="O38" i="14"/>
  <c r="K38" i="14"/>
  <c r="G38" i="14"/>
  <c r="AD37" i="14"/>
  <c r="Z37" i="14"/>
  <c r="Y37" i="14"/>
  <c r="O37" i="14"/>
  <c r="K37" i="14"/>
  <c r="V36" i="14"/>
  <c r="M36" i="14" s="1"/>
  <c r="N36" i="14" s="1"/>
  <c r="U36" i="14"/>
  <c r="O36" i="14"/>
  <c r="K36" i="14"/>
  <c r="G36" i="14"/>
  <c r="V35" i="14"/>
  <c r="M35" i="14" s="1"/>
  <c r="U35" i="14"/>
  <c r="O35" i="14"/>
  <c r="K35" i="14"/>
  <c r="G35" i="14"/>
  <c r="V34" i="14"/>
  <c r="M34" i="14" s="1"/>
  <c r="U34" i="14"/>
  <c r="O34" i="14"/>
  <c r="K34" i="14"/>
  <c r="G34" i="14"/>
  <c r="V33" i="14"/>
  <c r="U33" i="14"/>
  <c r="O33" i="14"/>
  <c r="M33" i="14"/>
  <c r="N33" i="14" s="1"/>
  <c r="P33" i="14" s="1"/>
  <c r="K33" i="14"/>
  <c r="G33" i="14"/>
  <c r="X32" i="14"/>
  <c r="W32" i="14"/>
  <c r="V32" i="14"/>
  <c r="M32" i="14" s="1"/>
  <c r="O32" i="14"/>
  <c r="K32" i="14"/>
  <c r="G32" i="14"/>
  <c r="AD31" i="14"/>
  <c r="Z31" i="14"/>
  <c r="Y31" i="14"/>
  <c r="K18" i="13" s="1"/>
  <c r="O31" i="14"/>
  <c r="K31" i="14"/>
  <c r="V30" i="14"/>
  <c r="M30" i="14" s="1"/>
  <c r="U30" i="14"/>
  <c r="O30" i="14"/>
  <c r="K30" i="14"/>
  <c r="G30" i="14"/>
  <c r="AF29" i="14"/>
  <c r="AE29" i="14"/>
  <c r="V29" i="14"/>
  <c r="M29" i="14" s="1"/>
  <c r="N29" i="14" s="1"/>
  <c r="U29" i="14"/>
  <c r="O29" i="14"/>
  <c r="K29" i="14"/>
  <c r="G29" i="14"/>
  <c r="AF28" i="14"/>
  <c r="V28" i="14"/>
  <c r="U28" i="14"/>
  <c r="O28" i="14"/>
  <c r="M28" i="14"/>
  <c r="AE28" i="14" s="1"/>
  <c r="K28" i="14"/>
  <c r="G28" i="14"/>
  <c r="V27" i="14"/>
  <c r="U27" i="14"/>
  <c r="O27" i="14"/>
  <c r="M27" i="14"/>
  <c r="AF27" i="14" s="1"/>
  <c r="K27" i="14"/>
  <c r="G27" i="14"/>
  <c r="V26" i="14"/>
  <c r="U26" i="14"/>
  <c r="O26" i="14"/>
  <c r="N26" i="14"/>
  <c r="M26" i="14"/>
  <c r="K26" i="14"/>
  <c r="G26" i="14"/>
  <c r="X25" i="14"/>
  <c r="W25" i="14"/>
  <c r="V25" i="14"/>
  <c r="M25" i="14" s="1"/>
  <c r="O25" i="14"/>
  <c r="K25" i="14"/>
  <c r="G25" i="14"/>
  <c r="AD24" i="14"/>
  <c r="G21" i="13" s="1"/>
  <c r="Z24" i="14"/>
  <c r="G19" i="13" s="1"/>
  <c r="Y24" i="14"/>
  <c r="G18" i="13" s="1"/>
  <c r="O24" i="14"/>
  <c r="K24" i="14"/>
  <c r="V23" i="14"/>
  <c r="U23" i="14"/>
  <c r="O23" i="14"/>
  <c r="N23" i="14"/>
  <c r="M23" i="14"/>
  <c r="AF23" i="14" s="1"/>
  <c r="K23" i="14"/>
  <c r="G23" i="14"/>
  <c r="AE22" i="14"/>
  <c r="V22" i="14"/>
  <c r="M22" i="14" s="1"/>
  <c r="N22" i="14" s="1"/>
  <c r="U22" i="14"/>
  <c r="O22" i="14"/>
  <c r="K22" i="14"/>
  <c r="G22" i="14"/>
  <c r="V21" i="14"/>
  <c r="M21" i="14" s="1"/>
  <c r="U21" i="14"/>
  <c r="O21" i="14"/>
  <c r="K21" i="14"/>
  <c r="G21" i="14"/>
  <c r="AE20" i="14"/>
  <c r="V20" i="14"/>
  <c r="U20" i="14"/>
  <c r="O20" i="14"/>
  <c r="M20" i="14"/>
  <c r="AF20" i="14" s="1"/>
  <c r="K20" i="14"/>
  <c r="G20" i="14"/>
  <c r="V19" i="14"/>
  <c r="M19" i="14" s="1"/>
  <c r="N19" i="14" s="1"/>
  <c r="O19" i="14"/>
  <c r="K19" i="14"/>
  <c r="G19" i="14"/>
  <c r="AD18" i="14"/>
  <c r="F21" i="13" s="1"/>
  <c r="Z18" i="14"/>
  <c r="F19" i="13" s="1"/>
  <c r="Y18" i="14"/>
  <c r="O18" i="14"/>
  <c r="K18" i="14"/>
  <c r="V17" i="14"/>
  <c r="M17" i="14" s="1"/>
  <c r="AF17" i="14" s="1"/>
  <c r="U17" i="14"/>
  <c r="O17" i="14"/>
  <c r="K17" i="14"/>
  <c r="G17" i="14"/>
  <c r="V16" i="14"/>
  <c r="M16" i="14" s="1"/>
  <c r="U16" i="14"/>
  <c r="O16" i="14"/>
  <c r="K16" i="14"/>
  <c r="G16" i="14"/>
  <c r="AF15" i="14"/>
  <c r="AE15" i="14"/>
  <c r="V15" i="14"/>
  <c r="M15" i="14" s="1"/>
  <c r="N15" i="14" s="1"/>
  <c r="U15" i="14"/>
  <c r="O15" i="14"/>
  <c r="K15" i="14"/>
  <c r="Q15" i="14" s="1"/>
  <c r="G15" i="14"/>
  <c r="AF14" i="14"/>
  <c r="V14" i="14"/>
  <c r="O14" i="14"/>
  <c r="M14" i="14"/>
  <c r="AE14" i="14" s="1"/>
  <c r="K14" i="14"/>
  <c r="G14" i="14"/>
  <c r="AD13" i="14"/>
  <c r="E21" i="13" s="1"/>
  <c r="Z13" i="14"/>
  <c r="E19" i="13" s="1"/>
  <c r="Y13" i="14"/>
  <c r="E18" i="13" s="1"/>
  <c r="O13" i="14"/>
  <c r="K13" i="14"/>
  <c r="V12" i="14"/>
  <c r="M12" i="14" s="1"/>
  <c r="U12" i="14"/>
  <c r="O12" i="14"/>
  <c r="K12" i="14"/>
  <c r="G12" i="14"/>
  <c r="V11" i="14"/>
  <c r="O11" i="14"/>
  <c r="N11" i="14"/>
  <c r="M11" i="14"/>
  <c r="AF11" i="14" s="1"/>
  <c r="K11" i="14"/>
  <c r="P11" i="14" s="1"/>
  <c r="G11" i="14"/>
  <c r="AD10" i="14"/>
  <c r="D21" i="13" s="1"/>
  <c r="Z10" i="14"/>
  <c r="D19" i="13" s="1"/>
  <c r="Y10" i="14"/>
  <c r="O10" i="14"/>
  <c r="K10" i="14"/>
  <c r="V9" i="14"/>
  <c r="U9" i="14"/>
  <c r="O9" i="14"/>
  <c r="M9" i="14"/>
  <c r="AF9" i="14" s="1"/>
  <c r="K9" i="14"/>
  <c r="G9" i="14"/>
  <c r="AE8" i="14"/>
  <c r="V8" i="14"/>
  <c r="M8" i="14" s="1"/>
  <c r="N8" i="14" s="1"/>
  <c r="U8" i="14"/>
  <c r="O8" i="14"/>
  <c r="K8" i="14"/>
  <c r="Q8" i="14" s="1"/>
  <c r="G8" i="14"/>
  <c r="V7" i="14"/>
  <c r="M7" i="14" s="1"/>
  <c r="AE7" i="14" s="1"/>
  <c r="U7" i="14"/>
  <c r="O7" i="14"/>
  <c r="K7" i="14"/>
  <c r="G7" i="14"/>
  <c r="AE6" i="14"/>
  <c r="V6" i="14"/>
  <c r="M6" i="14" s="1"/>
  <c r="N6" i="14" s="1"/>
  <c r="P6" i="14" s="1"/>
  <c r="U6" i="14"/>
  <c r="O6" i="14"/>
  <c r="K6" i="14"/>
  <c r="G6" i="14"/>
  <c r="V5" i="14"/>
  <c r="M5" i="14" s="1"/>
  <c r="O5" i="14"/>
  <c r="K5" i="14"/>
  <c r="G5" i="14"/>
  <c r="AD2" i="14"/>
  <c r="N6" i="13" s="1"/>
  <c r="D1" i="14"/>
  <c r="M22" i="13"/>
  <c r="L22" i="13"/>
  <c r="K22" i="13"/>
  <c r="J22" i="13"/>
  <c r="I22" i="13"/>
  <c r="H22" i="13"/>
  <c r="G22" i="13"/>
  <c r="F22" i="13"/>
  <c r="E22" i="13"/>
  <c r="D22" i="13"/>
  <c r="M21" i="13"/>
  <c r="L21" i="13"/>
  <c r="K21" i="13"/>
  <c r="J21" i="13"/>
  <c r="I21" i="13"/>
  <c r="M20" i="13"/>
  <c r="L20" i="13"/>
  <c r="K20" i="13"/>
  <c r="J20" i="13"/>
  <c r="I20" i="13"/>
  <c r="H20" i="13"/>
  <c r="G20" i="13"/>
  <c r="F20" i="13"/>
  <c r="E20" i="13"/>
  <c r="D20" i="13"/>
  <c r="M19" i="13"/>
  <c r="L19" i="13"/>
  <c r="K19" i="13"/>
  <c r="J19" i="13"/>
  <c r="I19" i="13"/>
  <c r="M18" i="13"/>
  <c r="L18" i="13"/>
  <c r="J18" i="13"/>
  <c r="I18" i="13"/>
  <c r="H18" i="13"/>
  <c r="F18" i="13"/>
  <c r="D18" i="13"/>
  <c r="M17" i="13"/>
  <c r="L17" i="13"/>
  <c r="K17" i="13"/>
  <c r="J17" i="13"/>
  <c r="I17" i="13"/>
  <c r="H17" i="13"/>
  <c r="G17" i="13"/>
  <c r="F17" i="13"/>
  <c r="E17" i="13"/>
  <c r="D17" i="13"/>
  <c r="M16" i="13"/>
  <c r="L16" i="13"/>
  <c r="K16" i="13"/>
  <c r="J16" i="13"/>
  <c r="I16" i="13"/>
  <c r="H16" i="13"/>
  <c r="G16" i="13"/>
  <c r="F16" i="13"/>
  <c r="E16" i="13"/>
  <c r="D16" i="13"/>
  <c r="M13" i="13"/>
  <c r="L13" i="13"/>
  <c r="K13" i="13"/>
  <c r="I6" i="13" s="1"/>
  <c r="J13" i="13"/>
  <c r="I13" i="13"/>
  <c r="H13" i="13"/>
  <c r="G13" i="13"/>
  <c r="F13" i="13"/>
  <c r="E13" i="13"/>
  <c r="D13" i="13"/>
  <c r="G6" i="13" s="1"/>
  <c r="M6" i="13"/>
  <c r="F6" i="13"/>
  <c r="F3" i="13"/>
  <c r="C3" i="13"/>
  <c r="AE21" i="14" l="1"/>
  <c r="AF21" i="14"/>
  <c r="N21" i="14"/>
  <c r="Q21" i="14" s="1"/>
  <c r="N41" i="14"/>
  <c r="AF41" i="14"/>
  <c r="AE41" i="14"/>
  <c r="M64" i="14"/>
  <c r="N60" i="14"/>
  <c r="P60" i="14" s="1"/>
  <c r="AF60" i="14"/>
  <c r="AE60" i="14"/>
  <c r="AF34" i="14"/>
  <c r="AE34" i="14"/>
  <c r="N34" i="14"/>
  <c r="Q34" i="14" s="1"/>
  <c r="AE35" i="14"/>
  <c r="AF35" i="14"/>
  <c r="N35" i="14"/>
  <c r="AF57" i="14"/>
  <c r="N57" i="14"/>
  <c r="AF48" i="14"/>
  <c r="N48" i="14"/>
  <c r="N30" i="14"/>
  <c r="AF30" i="14"/>
  <c r="AE30" i="14"/>
  <c r="AF55" i="14"/>
  <c r="M59" i="14"/>
  <c r="AF59" i="14" s="1"/>
  <c r="AG54" i="14" s="1"/>
  <c r="AF50" i="14"/>
  <c r="AE50" i="14"/>
  <c r="N50" i="14"/>
  <c r="M13" i="14"/>
  <c r="N12" i="14"/>
  <c r="M53" i="14"/>
  <c r="AE53" i="14" s="1"/>
  <c r="AF5" i="14"/>
  <c r="N5" i="14"/>
  <c r="AE51" i="14"/>
  <c r="AF51" i="14"/>
  <c r="N51" i="14"/>
  <c r="N14" i="14"/>
  <c r="Q14" i="14" s="1"/>
  <c r="M44" i="14"/>
  <c r="P47" i="18"/>
  <c r="Q47" i="18"/>
  <c r="R38" i="18" s="1"/>
  <c r="L14" i="17"/>
  <c r="L15" i="17" s="1"/>
  <c r="N17" i="14"/>
  <c r="Q6" i="14"/>
  <c r="AF8" i="14"/>
  <c r="N20" i="14"/>
  <c r="Q20" i="14" s="1"/>
  <c r="AF22" i="14"/>
  <c r="N28" i="14"/>
  <c r="Q28" i="14" s="1"/>
  <c r="AE36" i="14"/>
  <c r="AF36" i="14"/>
  <c r="M37" i="14"/>
  <c r="AF6" i="14"/>
  <c r="Q26" i="14"/>
  <c r="AE17" i="14"/>
  <c r="N42" i="14"/>
  <c r="Q42" i="14" s="1"/>
  <c r="P15" i="14"/>
  <c r="Z2" i="14"/>
  <c r="L6" i="13" s="1"/>
  <c r="P45" i="14"/>
  <c r="AE61" i="14"/>
  <c r="AE23" i="14"/>
  <c r="AF61" i="14"/>
  <c r="F1" i="14"/>
  <c r="Y2" i="14"/>
  <c r="K6" i="13" s="1"/>
  <c r="AF42" i="14"/>
  <c r="E6" i="13"/>
  <c r="N27" i="14"/>
  <c r="Q27" i="14" s="1"/>
  <c r="P8" i="14"/>
  <c r="Q11" i="14"/>
  <c r="AE27" i="14"/>
  <c r="AE43" i="14"/>
  <c r="AF54" i="14"/>
  <c r="M18" i="14"/>
  <c r="AF18" i="14" s="1"/>
  <c r="AG14" i="14" s="1"/>
  <c r="P23" i="16"/>
  <c r="F8" i="23"/>
  <c r="G8" i="23"/>
  <c r="E8" i="23"/>
  <c r="D15" i="19"/>
  <c r="F7" i="19"/>
  <c r="G7" i="19"/>
  <c r="E7" i="19"/>
  <c r="K15" i="19"/>
  <c r="I8" i="19" s="1"/>
  <c r="I7" i="19"/>
  <c r="K14" i="17"/>
  <c r="Q37" i="18"/>
  <c r="R28" i="18" s="1"/>
  <c r="P37" i="18"/>
  <c r="D14" i="17"/>
  <c r="D2" i="18"/>
  <c r="P10" i="18"/>
  <c r="Q10" i="18"/>
  <c r="R5" i="18" s="1"/>
  <c r="Q20" i="18"/>
  <c r="R15" i="18" s="1"/>
  <c r="P20" i="18"/>
  <c r="F14" i="17"/>
  <c r="F15" i="17" s="1"/>
  <c r="M14" i="17"/>
  <c r="M15" i="17" s="1"/>
  <c r="Q76" i="18"/>
  <c r="R71" i="18" s="1"/>
  <c r="P76" i="18"/>
  <c r="Q65" i="18"/>
  <c r="R56" i="18" s="1"/>
  <c r="P65" i="18"/>
  <c r="I14" i="17"/>
  <c r="I15" i="17" s="1"/>
  <c r="Q9" i="16"/>
  <c r="P9" i="16"/>
  <c r="E14" i="15"/>
  <c r="E15" i="15" s="1"/>
  <c r="Q14" i="16"/>
  <c r="R12" i="16" s="1"/>
  <c r="P14" i="16"/>
  <c r="Q35" i="16"/>
  <c r="P35" i="16"/>
  <c r="Q5" i="16"/>
  <c r="P5" i="16"/>
  <c r="N32" i="16"/>
  <c r="AF32" i="16"/>
  <c r="AG26" i="16" s="1"/>
  <c r="AE32" i="16"/>
  <c r="Q49" i="16"/>
  <c r="P49" i="16"/>
  <c r="Q13" i="16"/>
  <c r="P13" i="16"/>
  <c r="Q6" i="16"/>
  <c r="P6" i="16"/>
  <c r="N19" i="16"/>
  <c r="AF19" i="16"/>
  <c r="AG15" i="16" s="1"/>
  <c r="AE19" i="16"/>
  <c r="Q36" i="16"/>
  <c r="P36" i="16"/>
  <c r="Q28" i="16"/>
  <c r="P28" i="16"/>
  <c r="Q58" i="16"/>
  <c r="P58" i="16"/>
  <c r="Q17" i="16"/>
  <c r="P17" i="16"/>
  <c r="Q38" i="16"/>
  <c r="P38" i="16"/>
  <c r="P41" i="16"/>
  <c r="Q41" i="16"/>
  <c r="AF65" i="16"/>
  <c r="AG61" i="16" s="1"/>
  <c r="AE65" i="16"/>
  <c r="N65" i="16"/>
  <c r="Q44" i="16"/>
  <c r="P44" i="16"/>
  <c r="Q21" i="16"/>
  <c r="P21" i="16"/>
  <c r="Q31" i="16"/>
  <c r="P31" i="16"/>
  <c r="Q15" i="16"/>
  <c r="P15" i="16"/>
  <c r="P43" i="16"/>
  <c r="Q43" i="16"/>
  <c r="Q12" i="16"/>
  <c r="P12" i="16"/>
  <c r="Q10" i="16"/>
  <c r="P10" i="16"/>
  <c r="Q34" i="16"/>
  <c r="P34" i="16"/>
  <c r="Q64" i="16"/>
  <c r="P64" i="16"/>
  <c r="Q48" i="16"/>
  <c r="P48" i="16"/>
  <c r="Q54" i="16"/>
  <c r="P54" i="16"/>
  <c r="Q16" i="16"/>
  <c r="P16" i="16"/>
  <c r="Q18" i="16"/>
  <c r="P18" i="16"/>
  <c r="N60" i="16"/>
  <c r="AF60" i="16"/>
  <c r="AG56" i="16" s="1"/>
  <c r="AE60" i="16"/>
  <c r="Q30" i="16"/>
  <c r="P30" i="16"/>
  <c r="Q37" i="16"/>
  <c r="P37" i="16"/>
  <c r="Q47" i="16"/>
  <c r="P47" i="16"/>
  <c r="P57" i="16"/>
  <c r="Q57" i="16"/>
  <c r="Q42" i="16"/>
  <c r="P42" i="16"/>
  <c r="AF25" i="16"/>
  <c r="AG20" i="16" s="1"/>
  <c r="AE25" i="16"/>
  <c r="N25" i="16"/>
  <c r="P56" i="16"/>
  <c r="Q56" i="16"/>
  <c r="P40" i="16"/>
  <c r="Q40" i="16"/>
  <c r="N55" i="16"/>
  <c r="AF55" i="16"/>
  <c r="AG47" i="16" s="1"/>
  <c r="AE55" i="16"/>
  <c r="Q52" i="16"/>
  <c r="P52" i="16"/>
  <c r="N39" i="16"/>
  <c r="AF39" i="16"/>
  <c r="AG33" i="16" s="1"/>
  <c r="AE39" i="16"/>
  <c r="N46" i="16"/>
  <c r="AF46" i="16"/>
  <c r="AG40" i="16" s="1"/>
  <c r="AE46" i="16"/>
  <c r="Q24" i="16"/>
  <c r="P24" i="16"/>
  <c r="Q27" i="16"/>
  <c r="P27" i="16"/>
  <c r="Q51" i="16"/>
  <c r="P51" i="16"/>
  <c r="Q53" i="16"/>
  <c r="P53" i="16"/>
  <c r="Q33" i="16"/>
  <c r="P33" i="16"/>
  <c r="AF11" i="16"/>
  <c r="AG5" i="16" s="1"/>
  <c r="AE11" i="16"/>
  <c r="N11" i="16"/>
  <c r="Q20" i="16"/>
  <c r="P20" i="16"/>
  <c r="Q63" i="14"/>
  <c r="P63" i="14"/>
  <c r="Q19" i="14"/>
  <c r="P19" i="14"/>
  <c r="N53" i="14"/>
  <c r="Q53" i="14" s="1"/>
  <c r="R45" i="14" s="1"/>
  <c r="AF53" i="14"/>
  <c r="AG45" i="14" s="1"/>
  <c r="Q58" i="14"/>
  <c r="P56" i="14"/>
  <c r="P28" i="14"/>
  <c r="N47" i="14"/>
  <c r="P21" i="14"/>
  <c r="Q33" i="14"/>
  <c r="P26" i="14"/>
  <c r="P40" i="14"/>
  <c r="N59" i="14"/>
  <c r="P59" i="14" s="1"/>
  <c r="P49" i="14"/>
  <c r="M10" i="14"/>
  <c r="AE5" i="14"/>
  <c r="AF7" i="14"/>
  <c r="N7" i="14"/>
  <c r="AF12" i="14"/>
  <c r="AE12" i="14"/>
  <c r="AE18" i="14"/>
  <c r="N18" i="14"/>
  <c r="P14" i="14"/>
  <c r="AF16" i="14"/>
  <c r="AE16" i="14"/>
  <c r="N16" i="14"/>
  <c r="M24" i="14"/>
  <c r="AF19" i="14"/>
  <c r="AE19" i="14"/>
  <c r="P20" i="14"/>
  <c r="Q22" i="14"/>
  <c r="P22" i="14"/>
  <c r="Q23" i="14"/>
  <c r="P23" i="14"/>
  <c r="AF25" i="14"/>
  <c r="AE25" i="14"/>
  <c r="M31" i="14"/>
  <c r="N25" i="14"/>
  <c r="AF26" i="14"/>
  <c r="AE26" i="14"/>
  <c r="P27" i="14"/>
  <c r="Q29" i="14"/>
  <c r="P29" i="14"/>
  <c r="Q30" i="14"/>
  <c r="P30" i="14"/>
  <c r="AF32" i="14"/>
  <c r="AE32" i="14"/>
  <c r="N32" i="14"/>
  <c r="AF33" i="14"/>
  <c r="AE33" i="14"/>
  <c r="P34" i="14"/>
  <c r="Q35" i="14"/>
  <c r="P35" i="14"/>
  <c r="Q36" i="14"/>
  <c r="P36" i="14"/>
  <c r="AF40" i="14"/>
  <c r="AE40" i="14"/>
  <c r="Q41" i="14"/>
  <c r="P41" i="14"/>
  <c r="P42" i="14"/>
  <c r="Q43" i="14"/>
  <c r="P43" i="14"/>
  <c r="AF47" i="14"/>
  <c r="AE47" i="14"/>
  <c r="AF49" i="14"/>
  <c r="AE49" i="14"/>
  <c r="Q50" i="14"/>
  <c r="P50" i="14"/>
  <c r="Q51" i="14"/>
  <c r="P51" i="14"/>
  <c r="Q52" i="14"/>
  <c r="P52" i="14"/>
  <c r="P53" i="14"/>
  <c r="AF56" i="14"/>
  <c r="AE56" i="14"/>
  <c r="AF58" i="14"/>
  <c r="AE58" i="14"/>
  <c r="Q59" i="14"/>
  <c r="R54" i="14" s="1"/>
  <c r="AF64" i="14"/>
  <c r="AG60" i="14" s="1"/>
  <c r="AE64" i="14"/>
  <c r="N64" i="14"/>
  <c r="Q60" i="14"/>
  <c r="AF63" i="14"/>
  <c r="AE63" i="14"/>
  <c r="N9" i="14"/>
  <c r="N39" i="14"/>
  <c r="N46" i="14"/>
  <c r="N55" i="14"/>
  <c r="N62" i="14"/>
  <c r="AE9" i="14"/>
  <c r="AE46" i="14"/>
  <c r="AE55" i="14"/>
  <c r="AE62" i="14"/>
  <c r="AE11" i="14"/>
  <c r="AE39" i="14"/>
  <c r="AE48" i="14"/>
  <c r="AE57" i="14"/>
  <c r="AD67" i="12"/>
  <c r="AC67" i="12"/>
  <c r="Z67" i="12"/>
  <c r="Y67" i="12"/>
  <c r="O67" i="12"/>
  <c r="K67" i="12"/>
  <c r="V66" i="12"/>
  <c r="M66" i="12" s="1"/>
  <c r="AF66" i="12" s="1"/>
  <c r="U66" i="12"/>
  <c r="O66" i="12"/>
  <c r="K66" i="12"/>
  <c r="G66" i="12"/>
  <c r="X65" i="12"/>
  <c r="W65" i="12"/>
  <c r="V65" i="12"/>
  <c r="M65" i="12" s="1"/>
  <c r="AE65" i="12" s="1"/>
  <c r="U65" i="12"/>
  <c r="O65" i="12"/>
  <c r="K65" i="12"/>
  <c r="G65" i="12"/>
  <c r="V64" i="12"/>
  <c r="M64" i="12" s="1"/>
  <c r="AF64" i="12" s="1"/>
  <c r="U64" i="12"/>
  <c r="O64" i="12"/>
  <c r="K64" i="12"/>
  <c r="G64" i="12"/>
  <c r="AF63" i="12"/>
  <c r="V63" i="12"/>
  <c r="U63" i="12"/>
  <c r="O63" i="12"/>
  <c r="M63" i="12"/>
  <c r="AE63" i="12" s="1"/>
  <c r="K63" i="12"/>
  <c r="G63" i="12"/>
  <c r="X62" i="12"/>
  <c r="W62" i="12"/>
  <c r="V62" i="12"/>
  <c r="M62" i="12" s="1"/>
  <c r="O62" i="12"/>
  <c r="K62" i="12"/>
  <c r="G62" i="12"/>
  <c r="AD61" i="12"/>
  <c r="AC61" i="12"/>
  <c r="Z61" i="12"/>
  <c r="Y61" i="12"/>
  <c r="O61" i="12"/>
  <c r="K61" i="12"/>
  <c r="V60" i="12"/>
  <c r="U60" i="12"/>
  <c r="O60" i="12"/>
  <c r="M60" i="12"/>
  <c r="AF60" i="12" s="1"/>
  <c r="K60" i="12"/>
  <c r="G60" i="12"/>
  <c r="AF59" i="12"/>
  <c r="V59" i="12"/>
  <c r="U59" i="12"/>
  <c r="O59" i="12"/>
  <c r="M59" i="12"/>
  <c r="AE59" i="12" s="1"/>
  <c r="K59" i="12"/>
  <c r="G59" i="12"/>
  <c r="V58" i="12"/>
  <c r="U58" i="12"/>
  <c r="O58" i="12"/>
  <c r="M58" i="12"/>
  <c r="N58" i="12" s="1"/>
  <c r="K58" i="12"/>
  <c r="G58" i="12"/>
  <c r="V57" i="12"/>
  <c r="M57" i="12" s="1"/>
  <c r="U57" i="12"/>
  <c r="O57" i="12"/>
  <c r="K57" i="12"/>
  <c r="G57" i="12"/>
  <c r="V56" i="12"/>
  <c r="M56" i="12" s="1"/>
  <c r="O56" i="12"/>
  <c r="K56" i="12"/>
  <c r="G56" i="12"/>
  <c r="AD55" i="12"/>
  <c r="I21" i="11" s="1"/>
  <c r="AC55" i="12"/>
  <c r="Z55" i="12"/>
  <c r="Y55" i="12"/>
  <c r="O55" i="12"/>
  <c r="K55" i="12"/>
  <c r="V54" i="12"/>
  <c r="M54" i="12" s="1"/>
  <c r="U54" i="12"/>
  <c r="O54" i="12"/>
  <c r="K54" i="12"/>
  <c r="G54" i="12"/>
  <c r="V53" i="12"/>
  <c r="M53" i="12" s="1"/>
  <c r="U53" i="12"/>
  <c r="O53" i="12"/>
  <c r="K53" i="12"/>
  <c r="G53" i="12"/>
  <c r="V52" i="12"/>
  <c r="M52" i="12" s="1"/>
  <c r="U52" i="12"/>
  <c r="O52" i="12"/>
  <c r="K52" i="12"/>
  <c r="G52" i="12"/>
  <c r="V51" i="12"/>
  <c r="M51" i="12" s="1"/>
  <c r="U51" i="12"/>
  <c r="O51" i="12"/>
  <c r="K51" i="12"/>
  <c r="G51" i="12"/>
  <c r="V50" i="12"/>
  <c r="M50" i="12" s="1"/>
  <c r="U50" i="12"/>
  <c r="O50" i="12"/>
  <c r="K50" i="12"/>
  <c r="G50" i="12"/>
  <c r="V49" i="12"/>
  <c r="U49" i="12"/>
  <c r="O49" i="12"/>
  <c r="M49" i="12"/>
  <c r="AF49" i="12" s="1"/>
  <c r="K49" i="12"/>
  <c r="G49" i="12"/>
  <c r="V48" i="12"/>
  <c r="M48" i="12" s="1"/>
  <c r="AF48" i="12" s="1"/>
  <c r="U48" i="12"/>
  <c r="O48" i="12"/>
  <c r="K48" i="12"/>
  <c r="G48" i="12"/>
  <c r="V47" i="12"/>
  <c r="O47" i="12"/>
  <c r="M47" i="12"/>
  <c r="AF47" i="12" s="1"/>
  <c r="K47" i="12"/>
  <c r="G47" i="12"/>
  <c r="AD46" i="12"/>
  <c r="AC46" i="12"/>
  <c r="Z46" i="12"/>
  <c r="Y46" i="12"/>
  <c r="O46" i="12"/>
  <c r="K46" i="12"/>
  <c r="V45" i="12"/>
  <c r="M45" i="12" s="1"/>
  <c r="AF45" i="12" s="1"/>
  <c r="U45" i="12"/>
  <c r="O45" i="12"/>
  <c r="K45" i="12"/>
  <c r="G45" i="12"/>
  <c r="V44" i="12"/>
  <c r="U44" i="12"/>
  <c r="O44" i="12"/>
  <c r="M44" i="12"/>
  <c r="AF44" i="12" s="1"/>
  <c r="K44" i="12"/>
  <c r="G44" i="12"/>
  <c r="V43" i="12"/>
  <c r="M43" i="12" s="1"/>
  <c r="U43" i="12"/>
  <c r="O43" i="12"/>
  <c r="K43" i="12"/>
  <c r="G43" i="12"/>
  <c r="V42" i="12"/>
  <c r="U42" i="12"/>
  <c r="O42" i="12"/>
  <c r="M42" i="12"/>
  <c r="N42" i="12" s="1"/>
  <c r="K42" i="12"/>
  <c r="G42" i="12"/>
  <c r="X41" i="12"/>
  <c r="W41" i="12"/>
  <c r="V41" i="12"/>
  <c r="M41" i="12" s="1"/>
  <c r="U41" i="12"/>
  <c r="O41" i="12"/>
  <c r="K41" i="12"/>
  <c r="G41" i="12"/>
  <c r="AF40" i="12"/>
  <c r="V40" i="12"/>
  <c r="O40" i="12"/>
  <c r="M40" i="12"/>
  <c r="AE40" i="12" s="1"/>
  <c r="K40" i="12"/>
  <c r="G40" i="12"/>
  <c r="AD39" i="12"/>
  <c r="AC39" i="12"/>
  <c r="Z39" i="12"/>
  <c r="Y39" i="12"/>
  <c r="O39" i="12"/>
  <c r="K39" i="12"/>
  <c r="V38" i="12"/>
  <c r="M38" i="12" s="1"/>
  <c r="U38" i="12"/>
  <c r="O38" i="12"/>
  <c r="K38" i="12"/>
  <c r="G38" i="12"/>
  <c r="X37" i="12"/>
  <c r="W37" i="12"/>
  <c r="V37" i="12"/>
  <c r="U37" i="12"/>
  <c r="O37" i="12"/>
  <c r="M37" i="12"/>
  <c r="N37" i="12" s="1"/>
  <c r="Q37" i="12" s="1"/>
  <c r="K37" i="12"/>
  <c r="G37" i="12"/>
  <c r="V36" i="12"/>
  <c r="U36" i="12"/>
  <c r="O36" i="12"/>
  <c r="M36" i="12"/>
  <c r="N36" i="12" s="1"/>
  <c r="K36" i="12"/>
  <c r="G36" i="12"/>
  <c r="V35" i="12"/>
  <c r="M35" i="12" s="1"/>
  <c r="U35" i="12"/>
  <c r="O35" i="12"/>
  <c r="K35" i="12"/>
  <c r="G35" i="12"/>
  <c r="V34" i="12"/>
  <c r="M34" i="12" s="1"/>
  <c r="U34" i="12"/>
  <c r="O34" i="12"/>
  <c r="K34" i="12"/>
  <c r="G34" i="12"/>
  <c r="AE33" i="12"/>
  <c r="X33" i="12"/>
  <c r="W33" i="12"/>
  <c r="V33" i="12"/>
  <c r="O33" i="12"/>
  <c r="M33" i="12"/>
  <c r="N33" i="12" s="1"/>
  <c r="K33" i="12"/>
  <c r="G33" i="12"/>
  <c r="AD32" i="12"/>
  <c r="AC32" i="12"/>
  <c r="Z32" i="12"/>
  <c r="Y32" i="12"/>
  <c r="O32" i="12"/>
  <c r="K32" i="12"/>
  <c r="V31" i="12"/>
  <c r="M31" i="12" s="1"/>
  <c r="U31" i="12"/>
  <c r="O31" i="12"/>
  <c r="K31" i="12"/>
  <c r="G31" i="12"/>
  <c r="AE30" i="12"/>
  <c r="X30" i="12"/>
  <c r="W30" i="12"/>
  <c r="V30" i="12"/>
  <c r="U30" i="12"/>
  <c r="O30" i="12"/>
  <c r="M30" i="12"/>
  <c r="N30" i="12" s="1"/>
  <c r="K30" i="12"/>
  <c r="G30" i="12"/>
  <c r="V29" i="12"/>
  <c r="M29" i="12" s="1"/>
  <c r="U29" i="12"/>
  <c r="O29" i="12"/>
  <c r="K29" i="12"/>
  <c r="G29" i="12"/>
  <c r="V28" i="12"/>
  <c r="M28" i="12" s="1"/>
  <c r="U28" i="12"/>
  <c r="O28" i="12"/>
  <c r="K28" i="12"/>
  <c r="G28" i="12"/>
  <c r="V27" i="12"/>
  <c r="M27" i="12" s="1"/>
  <c r="U27" i="12"/>
  <c r="O27" i="12"/>
  <c r="K27" i="12"/>
  <c r="G27" i="12"/>
  <c r="V26" i="12"/>
  <c r="M26" i="12" s="1"/>
  <c r="U26" i="12"/>
  <c r="O26" i="12"/>
  <c r="K26" i="12"/>
  <c r="G26" i="12"/>
  <c r="X25" i="12"/>
  <c r="W25" i="12"/>
  <c r="V25" i="12"/>
  <c r="M25" i="12" s="1"/>
  <c r="O25" i="12"/>
  <c r="K25" i="12"/>
  <c r="G25" i="12"/>
  <c r="AD24" i="12"/>
  <c r="AC24" i="12"/>
  <c r="G20" i="11" s="1"/>
  <c r="Z24" i="12"/>
  <c r="Y24" i="12"/>
  <c r="O24" i="12"/>
  <c r="K24" i="12"/>
  <c r="V23" i="12"/>
  <c r="M23" i="12" s="1"/>
  <c r="U23" i="12"/>
  <c r="O23" i="12"/>
  <c r="K23" i="12"/>
  <c r="G23" i="12"/>
  <c r="V22" i="12"/>
  <c r="M22" i="12" s="1"/>
  <c r="U22" i="12"/>
  <c r="O22" i="12"/>
  <c r="K22" i="12"/>
  <c r="G22" i="12"/>
  <c r="V21" i="12"/>
  <c r="M21" i="12" s="1"/>
  <c r="U21" i="12"/>
  <c r="O21" i="12"/>
  <c r="K21" i="12"/>
  <c r="G21" i="12"/>
  <c r="V20" i="12"/>
  <c r="M20" i="12" s="1"/>
  <c r="U20" i="12"/>
  <c r="O20" i="12"/>
  <c r="K20" i="12"/>
  <c r="G20" i="12"/>
  <c r="V19" i="12"/>
  <c r="M19" i="12" s="1"/>
  <c r="O19" i="12"/>
  <c r="K19" i="12"/>
  <c r="G19" i="12"/>
  <c r="AD18" i="12"/>
  <c r="F21" i="11" s="1"/>
  <c r="AC18" i="12"/>
  <c r="F20" i="11" s="1"/>
  <c r="Z18" i="12"/>
  <c r="Z2" i="12" s="1"/>
  <c r="L6" i="11" s="1"/>
  <c r="Y18" i="12"/>
  <c r="O18" i="12"/>
  <c r="K18" i="12"/>
  <c r="V17" i="12"/>
  <c r="M17" i="12" s="1"/>
  <c r="U17" i="12"/>
  <c r="O17" i="12"/>
  <c r="K17" i="12"/>
  <c r="G17" i="12"/>
  <c r="V16" i="12"/>
  <c r="U16" i="12"/>
  <c r="O16" i="12"/>
  <c r="M16" i="12"/>
  <c r="AF16" i="12" s="1"/>
  <c r="K16" i="12"/>
  <c r="G16" i="12"/>
  <c r="V15" i="12"/>
  <c r="U15" i="12"/>
  <c r="O15" i="12"/>
  <c r="M15" i="12"/>
  <c r="AF15" i="12" s="1"/>
  <c r="K15" i="12"/>
  <c r="G15" i="12"/>
  <c r="V14" i="12"/>
  <c r="O14" i="12"/>
  <c r="M14" i="12"/>
  <c r="K14" i="12"/>
  <c r="G14" i="12"/>
  <c r="AD13" i="12"/>
  <c r="AC13" i="12"/>
  <c r="Z13" i="12"/>
  <c r="Y13" i="12"/>
  <c r="O13" i="12"/>
  <c r="K13" i="12"/>
  <c r="V12" i="12"/>
  <c r="U12" i="12"/>
  <c r="O12" i="12"/>
  <c r="M12" i="12"/>
  <c r="AF12" i="12" s="1"/>
  <c r="K12" i="12"/>
  <c r="G12" i="12"/>
  <c r="V11" i="12"/>
  <c r="M11" i="12" s="1"/>
  <c r="O11" i="12"/>
  <c r="K11" i="12"/>
  <c r="G11" i="12"/>
  <c r="AD10" i="12"/>
  <c r="AC10" i="12"/>
  <c r="D20" i="11" s="1"/>
  <c r="Z10" i="12"/>
  <c r="Y10" i="12"/>
  <c r="D18" i="11" s="1"/>
  <c r="O10" i="12"/>
  <c r="K10" i="12"/>
  <c r="D13" i="11" s="1"/>
  <c r="V9" i="12"/>
  <c r="M9" i="12" s="1"/>
  <c r="AE9" i="12" s="1"/>
  <c r="U9" i="12"/>
  <c r="O9" i="12"/>
  <c r="K9" i="12"/>
  <c r="G9" i="12"/>
  <c r="V8" i="12"/>
  <c r="M8" i="12" s="1"/>
  <c r="U8" i="12"/>
  <c r="O8" i="12"/>
  <c r="K8" i="12"/>
  <c r="G8" i="12"/>
  <c r="V7" i="12"/>
  <c r="M7" i="12" s="1"/>
  <c r="U7" i="12"/>
  <c r="O7" i="12"/>
  <c r="K7" i="12"/>
  <c r="G7" i="12"/>
  <c r="V6" i="12"/>
  <c r="M6" i="12" s="1"/>
  <c r="U6" i="12"/>
  <c r="O6" i="12"/>
  <c r="K6" i="12"/>
  <c r="G6" i="12"/>
  <c r="V5" i="12"/>
  <c r="M5" i="12" s="1"/>
  <c r="O5" i="12"/>
  <c r="K5" i="12"/>
  <c r="G5" i="12"/>
  <c r="H2" i="12"/>
  <c r="H1" i="12"/>
  <c r="D1" i="12"/>
  <c r="M22" i="11"/>
  <c r="L22" i="11"/>
  <c r="K22" i="11"/>
  <c r="J22" i="11"/>
  <c r="I22" i="11"/>
  <c r="H22" i="11"/>
  <c r="G22" i="11"/>
  <c r="F22" i="11"/>
  <c r="E22" i="11"/>
  <c r="D22" i="11"/>
  <c r="M21" i="11"/>
  <c r="L21" i="11"/>
  <c r="K21" i="11"/>
  <c r="J21" i="11"/>
  <c r="H21" i="11"/>
  <c r="G21" i="11"/>
  <c r="E21" i="11"/>
  <c r="D21" i="11"/>
  <c r="M20" i="11"/>
  <c r="L20" i="11"/>
  <c r="K20" i="11"/>
  <c r="J20" i="11"/>
  <c r="I20" i="11"/>
  <c r="H20" i="11"/>
  <c r="E20" i="11"/>
  <c r="M19" i="11"/>
  <c r="L19" i="11"/>
  <c r="K19" i="11"/>
  <c r="J19" i="11"/>
  <c r="I19" i="11"/>
  <c r="H19" i="11"/>
  <c r="G19" i="11"/>
  <c r="F19" i="11"/>
  <c r="E19" i="11"/>
  <c r="D19" i="11"/>
  <c r="M18" i="11"/>
  <c r="L18" i="11"/>
  <c r="K18" i="11"/>
  <c r="J18" i="11"/>
  <c r="I18" i="11"/>
  <c r="H18" i="11"/>
  <c r="G18" i="11"/>
  <c r="F18" i="11"/>
  <c r="E18" i="11"/>
  <c r="M17" i="11"/>
  <c r="L17" i="11"/>
  <c r="K17" i="11"/>
  <c r="J17" i="11"/>
  <c r="I17" i="11"/>
  <c r="H17" i="11"/>
  <c r="G17" i="11"/>
  <c r="F17" i="11"/>
  <c r="E17" i="11"/>
  <c r="D17" i="11"/>
  <c r="M16" i="11"/>
  <c r="L16" i="11"/>
  <c r="K16" i="11"/>
  <c r="J16" i="11"/>
  <c r="I16" i="11"/>
  <c r="H16" i="11"/>
  <c r="G16" i="11"/>
  <c r="F16" i="11"/>
  <c r="E16" i="11"/>
  <c r="D16" i="11"/>
  <c r="M13" i="11"/>
  <c r="L13" i="11"/>
  <c r="K13" i="11"/>
  <c r="I6" i="11" s="1"/>
  <c r="J13" i="11"/>
  <c r="I13" i="11"/>
  <c r="H13" i="11"/>
  <c r="G13" i="11"/>
  <c r="F13" i="11"/>
  <c r="E13" i="11"/>
  <c r="F3" i="11"/>
  <c r="C3" i="11"/>
  <c r="N7" i="12" l="1"/>
  <c r="AF7" i="12"/>
  <c r="AE7" i="12"/>
  <c r="AE43" i="12"/>
  <c r="AF43" i="12"/>
  <c r="AE62" i="12"/>
  <c r="M67" i="12"/>
  <c r="AF67" i="12" s="1"/>
  <c r="AG62" i="12" s="1"/>
  <c r="AF17" i="12"/>
  <c r="N17" i="12"/>
  <c r="Q17" i="12" s="1"/>
  <c r="N8" i="12"/>
  <c r="Q8" i="12" s="1"/>
  <c r="AF8" i="12"/>
  <c r="N38" i="12"/>
  <c r="AF38" i="12"/>
  <c r="AE38" i="12"/>
  <c r="N41" i="12"/>
  <c r="AE41" i="12"/>
  <c r="AF41" i="12"/>
  <c r="AF11" i="12"/>
  <c r="M13" i="12"/>
  <c r="AF13" i="12" s="1"/>
  <c r="AG11" i="12" s="1"/>
  <c r="Q48" i="14"/>
  <c r="P48" i="14"/>
  <c r="AD2" i="12"/>
  <c r="N6" i="11" s="1"/>
  <c r="AF44" i="14"/>
  <c r="AG38" i="14" s="1"/>
  <c r="N44" i="14"/>
  <c r="Q57" i="14"/>
  <c r="P57" i="14"/>
  <c r="AE42" i="12"/>
  <c r="AF42" i="12"/>
  <c r="N49" i="12"/>
  <c r="Q49" i="12" s="1"/>
  <c r="I14" i="13"/>
  <c r="I15" i="13" s="1"/>
  <c r="AE37" i="12"/>
  <c r="Y2" i="12"/>
  <c r="K6" i="11" s="1"/>
  <c r="AF37" i="12"/>
  <c r="N63" i="12"/>
  <c r="Q63" i="12" s="1"/>
  <c r="AE44" i="14"/>
  <c r="Q5" i="14"/>
  <c r="P5" i="14"/>
  <c r="F1" i="12"/>
  <c r="I3" i="11" s="1"/>
  <c r="N37" i="14"/>
  <c r="AF37" i="14"/>
  <c r="AG32" i="14" s="1"/>
  <c r="AE37" i="14"/>
  <c r="Q12" i="14"/>
  <c r="P12" i="14"/>
  <c r="N13" i="14"/>
  <c r="AF13" i="14"/>
  <c r="AG11" i="14" s="1"/>
  <c r="AE13" i="14"/>
  <c r="AE36" i="12"/>
  <c r="AE58" i="12"/>
  <c r="M18" i="12"/>
  <c r="AF36" i="12"/>
  <c r="AF58" i="12"/>
  <c r="AF30" i="12"/>
  <c r="AF33" i="12"/>
  <c r="AE59" i="14"/>
  <c r="Q17" i="14"/>
  <c r="P17" i="14"/>
  <c r="N59" i="12"/>
  <c r="Q59" i="12" s="1"/>
  <c r="F2" i="14"/>
  <c r="I3" i="13"/>
  <c r="F8" i="19"/>
  <c r="G8" i="19"/>
  <c r="E8" i="19"/>
  <c r="D15" i="17"/>
  <c r="G7" i="17"/>
  <c r="F7" i="17"/>
  <c r="E7" i="17"/>
  <c r="I7" i="17"/>
  <c r="K15" i="17"/>
  <c r="I8" i="17" s="1"/>
  <c r="M14" i="15"/>
  <c r="M15" i="15" s="1"/>
  <c r="Q65" i="16"/>
  <c r="R61" i="16" s="1"/>
  <c r="P65" i="16"/>
  <c r="P55" i="16"/>
  <c r="I14" i="15"/>
  <c r="I15" i="15" s="1"/>
  <c r="Q55" i="16"/>
  <c r="R47" i="16" s="1"/>
  <c r="D2" i="16"/>
  <c r="Q11" i="16"/>
  <c r="R5" i="16" s="1"/>
  <c r="P11" i="16"/>
  <c r="D14" i="15"/>
  <c r="Q46" i="16"/>
  <c r="R40" i="16" s="1"/>
  <c r="P46" i="16"/>
  <c r="H14" i="15"/>
  <c r="H15" i="15" s="1"/>
  <c r="Q19" i="16"/>
  <c r="R15" i="16" s="1"/>
  <c r="P19" i="16"/>
  <c r="F14" i="15"/>
  <c r="F15" i="15" s="1"/>
  <c r="Q25" i="16"/>
  <c r="R20" i="16" s="1"/>
  <c r="G14" i="15"/>
  <c r="G15" i="15" s="1"/>
  <c r="P25" i="16"/>
  <c r="K14" i="15"/>
  <c r="Q32" i="16"/>
  <c r="R26" i="16" s="1"/>
  <c r="P32" i="16"/>
  <c r="P39" i="16"/>
  <c r="L14" i="15"/>
  <c r="L15" i="15" s="1"/>
  <c r="Q39" i="16"/>
  <c r="R33" i="16" s="1"/>
  <c r="Q60" i="16"/>
  <c r="R56" i="16" s="1"/>
  <c r="P60" i="16"/>
  <c r="J14" i="15"/>
  <c r="J15" i="15" s="1"/>
  <c r="Q46" i="14"/>
  <c r="P46" i="14"/>
  <c r="Q47" i="14"/>
  <c r="P47" i="14"/>
  <c r="P39" i="14"/>
  <c r="Q39" i="14"/>
  <c r="P9" i="14"/>
  <c r="Q9" i="14"/>
  <c r="P25" i="14"/>
  <c r="Q25" i="14"/>
  <c r="N24" i="14"/>
  <c r="Q24" i="14" s="1"/>
  <c r="R19" i="14" s="1"/>
  <c r="AF24" i="14"/>
  <c r="AG19" i="14" s="1"/>
  <c r="AE24" i="14"/>
  <c r="P16" i="14"/>
  <c r="Q16" i="14"/>
  <c r="P62" i="14"/>
  <c r="Q62" i="14"/>
  <c r="Q55" i="14"/>
  <c r="P55" i="14"/>
  <c r="Q18" i="14"/>
  <c r="R14" i="14" s="1"/>
  <c r="P18" i="14"/>
  <c r="F14" i="13"/>
  <c r="F15" i="13" s="1"/>
  <c r="N31" i="14"/>
  <c r="AF31" i="14"/>
  <c r="AG25" i="14" s="1"/>
  <c r="AE31" i="14"/>
  <c r="Q64" i="14"/>
  <c r="R60" i="14" s="1"/>
  <c r="P64" i="14"/>
  <c r="M14" i="13"/>
  <c r="M15" i="13" s="1"/>
  <c r="J14" i="13"/>
  <c r="J15" i="13" s="1"/>
  <c r="AF10" i="14"/>
  <c r="AG5" i="14" s="1"/>
  <c r="AE10" i="14"/>
  <c r="N10" i="14"/>
  <c r="P32" i="14"/>
  <c r="Q32" i="14"/>
  <c r="Q7" i="14"/>
  <c r="P7" i="14"/>
  <c r="N22" i="12"/>
  <c r="AF22" i="12"/>
  <c r="AE22" i="12"/>
  <c r="N34" i="12"/>
  <c r="AE34" i="12"/>
  <c r="M39" i="12"/>
  <c r="AF34" i="12"/>
  <c r="N29" i="12"/>
  <c r="AF29" i="12"/>
  <c r="AE29" i="12"/>
  <c r="Q33" i="12"/>
  <c r="P33" i="12"/>
  <c r="N57" i="12"/>
  <c r="AF57" i="12"/>
  <c r="AE57" i="12"/>
  <c r="N6" i="12"/>
  <c r="AE6" i="12"/>
  <c r="AF6" i="12"/>
  <c r="N18" i="12"/>
  <c r="AF18" i="12"/>
  <c r="AG14" i="12" s="1"/>
  <c r="AE18" i="12"/>
  <c r="AF20" i="12"/>
  <c r="AE20" i="12"/>
  <c r="N20" i="12"/>
  <c r="AF50" i="12"/>
  <c r="AE50" i="12"/>
  <c r="N50" i="12"/>
  <c r="Q58" i="12"/>
  <c r="P58" i="12"/>
  <c r="Q7" i="12"/>
  <c r="P7" i="12"/>
  <c r="N23" i="12"/>
  <c r="AF23" i="12"/>
  <c r="AE23" i="12"/>
  <c r="N35" i="12"/>
  <c r="AF35" i="12"/>
  <c r="AE35" i="12"/>
  <c r="N53" i="12"/>
  <c r="AF53" i="12"/>
  <c r="AE53" i="12"/>
  <c r="N5" i="12"/>
  <c r="M10" i="12"/>
  <c r="AE5" i="12"/>
  <c r="AF5" i="12"/>
  <c r="AF19" i="12"/>
  <c r="M24" i="12"/>
  <c r="AE19" i="12"/>
  <c r="N19" i="12"/>
  <c r="Q42" i="12"/>
  <c r="P42" i="12"/>
  <c r="N25" i="12"/>
  <c r="AF25" i="12"/>
  <c r="M32" i="12"/>
  <c r="AE25" i="12"/>
  <c r="Q38" i="12"/>
  <c r="P38" i="12"/>
  <c r="Q30" i="12"/>
  <c r="P30" i="12"/>
  <c r="F2" i="12"/>
  <c r="G6" i="11"/>
  <c r="F6" i="11"/>
  <c r="E6" i="11"/>
  <c r="N52" i="12"/>
  <c r="AF52" i="12"/>
  <c r="AE52" i="12"/>
  <c r="N27" i="12"/>
  <c r="AF27" i="12"/>
  <c r="AE27" i="12"/>
  <c r="N31" i="12"/>
  <c r="AF31" i="12"/>
  <c r="AE31" i="12"/>
  <c r="N21" i="12"/>
  <c r="AF21" i="12"/>
  <c r="AE21" i="12"/>
  <c r="N51" i="12"/>
  <c r="AF51" i="12"/>
  <c r="AE51" i="12"/>
  <c r="N28" i="12"/>
  <c r="AE28" i="12"/>
  <c r="AF28" i="12"/>
  <c r="Q36" i="12"/>
  <c r="P36" i="12"/>
  <c r="N56" i="12"/>
  <c r="AF56" i="12"/>
  <c r="M61" i="12"/>
  <c r="AE56" i="12"/>
  <c r="N54" i="12"/>
  <c r="AE54" i="12"/>
  <c r="AF54" i="12"/>
  <c r="N26" i="12"/>
  <c r="AF26" i="12"/>
  <c r="AE26" i="12"/>
  <c r="Q41" i="12"/>
  <c r="P41" i="12"/>
  <c r="AE8" i="12"/>
  <c r="AF9" i="12"/>
  <c r="M46" i="12"/>
  <c r="AF62" i="12"/>
  <c r="AF65" i="12"/>
  <c r="AC2" i="12"/>
  <c r="M6" i="11" s="1"/>
  <c r="N14" i="12"/>
  <c r="N15" i="12"/>
  <c r="P17" i="12"/>
  <c r="N45" i="12"/>
  <c r="P49" i="12"/>
  <c r="N62" i="12"/>
  <c r="N65" i="12"/>
  <c r="N11" i="12"/>
  <c r="N12" i="12"/>
  <c r="N44" i="12"/>
  <c r="N60" i="12"/>
  <c r="N64" i="12"/>
  <c r="N66" i="12"/>
  <c r="N13" i="12"/>
  <c r="N16" i="12"/>
  <c r="N67" i="12"/>
  <c r="N9" i="12"/>
  <c r="N40" i="12"/>
  <c r="N43" i="12"/>
  <c r="M55" i="12"/>
  <c r="N47" i="12"/>
  <c r="N48" i="12"/>
  <c r="AE17" i="12"/>
  <c r="P37" i="12"/>
  <c r="AE49" i="12"/>
  <c r="P59" i="12"/>
  <c r="P63" i="12"/>
  <c r="AE16" i="12"/>
  <c r="AE47" i="12"/>
  <c r="AE48" i="12"/>
  <c r="AE14" i="12"/>
  <c r="AE15" i="12"/>
  <c r="AE45" i="12"/>
  <c r="AE11" i="12"/>
  <c r="AE12" i="12"/>
  <c r="AE13" i="12"/>
  <c r="AF14" i="12"/>
  <c r="AE44" i="12"/>
  <c r="AE60" i="12"/>
  <c r="AE64" i="12"/>
  <c r="AE66" i="12"/>
  <c r="AE67" i="12"/>
  <c r="AD71" i="10"/>
  <c r="AC71" i="10"/>
  <c r="Z71" i="10"/>
  <c r="Y71" i="10"/>
  <c r="O71" i="10"/>
  <c r="K71" i="10"/>
  <c r="V70" i="10"/>
  <c r="U70" i="10"/>
  <c r="O70" i="10"/>
  <c r="M70" i="10"/>
  <c r="AF70" i="10" s="1"/>
  <c r="K70" i="10"/>
  <c r="G70" i="10"/>
  <c r="X69" i="10"/>
  <c r="W69" i="10"/>
  <c r="V69" i="10"/>
  <c r="U69" i="10"/>
  <c r="O69" i="10"/>
  <c r="M69" i="10"/>
  <c r="AE69" i="10" s="1"/>
  <c r="K69" i="10"/>
  <c r="G69" i="10"/>
  <c r="V68" i="10"/>
  <c r="U68" i="10"/>
  <c r="O68" i="10"/>
  <c r="M68" i="10"/>
  <c r="AF68" i="10" s="1"/>
  <c r="K68" i="10"/>
  <c r="G68" i="10"/>
  <c r="V67" i="10"/>
  <c r="M67" i="10" s="1"/>
  <c r="U67" i="10"/>
  <c r="O67" i="10"/>
  <c r="K67" i="10"/>
  <c r="G67" i="10"/>
  <c r="X66" i="10"/>
  <c r="W66" i="10"/>
  <c r="V66" i="10"/>
  <c r="O66" i="10"/>
  <c r="M66" i="10"/>
  <c r="AE66" i="10" s="1"/>
  <c r="K66" i="10"/>
  <c r="G66" i="10"/>
  <c r="AD65" i="10"/>
  <c r="AC65" i="10"/>
  <c r="Z65" i="10"/>
  <c r="Y65" i="10"/>
  <c r="O65" i="10"/>
  <c r="K65" i="10"/>
  <c r="V64" i="10"/>
  <c r="U64" i="10"/>
  <c r="O64" i="10"/>
  <c r="M64" i="10"/>
  <c r="AF64" i="10" s="1"/>
  <c r="K64" i="10"/>
  <c r="G64" i="10"/>
  <c r="V63" i="10"/>
  <c r="U63" i="10"/>
  <c r="O63" i="10"/>
  <c r="M63" i="10"/>
  <c r="AE63" i="10" s="1"/>
  <c r="K63" i="10"/>
  <c r="G63" i="10"/>
  <c r="V62" i="10"/>
  <c r="M62" i="10" s="1"/>
  <c r="U62" i="10"/>
  <c r="O62" i="10"/>
  <c r="K62" i="10"/>
  <c r="G62" i="10"/>
  <c r="V61" i="10"/>
  <c r="M61" i="10" s="1"/>
  <c r="U61" i="10"/>
  <c r="O61" i="10"/>
  <c r="K61" i="10"/>
  <c r="G61" i="10"/>
  <c r="V60" i="10"/>
  <c r="M60" i="10" s="1"/>
  <c r="O60" i="10"/>
  <c r="K60" i="10"/>
  <c r="G60" i="10"/>
  <c r="AD59" i="10"/>
  <c r="AC59" i="10"/>
  <c r="Z59" i="10"/>
  <c r="Y59" i="10"/>
  <c r="O59" i="10"/>
  <c r="K59" i="10"/>
  <c r="V58" i="10"/>
  <c r="M58" i="10" s="1"/>
  <c r="U58" i="10"/>
  <c r="O58" i="10"/>
  <c r="K58" i="10"/>
  <c r="G58" i="10"/>
  <c r="X57" i="10"/>
  <c r="W57" i="10"/>
  <c r="V57" i="10"/>
  <c r="M57" i="10" s="1"/>
  <c r="U57" i="10"/>
  <c r="O57" i="10"/>
  <c r="K57" i="10"/>
  <c r="G57" i="10"/>
  <c r="V56" i="10"/>
  <c r="M56" i="10" s="1"/>
  <c r="U56" i="10"/>
  <c r="O56" i="10"/>
  <c r="K56" i="10"/>
  <c r="G56" i="10"/>
  <c r="V55" i="10"/>
  <c r="M55" i="10" s="1"/>
  <c r="U55" i="10"/>
  <c r="O55" i="10"/>
  <c r="K55" i="10"/>
  <c r="G55" i="10"/>
  <c r="V54" i="10"/>
  <c r="M54" i="10" s="1"/>
  <c r="U54" i="10"/>
  <c r="O54" i="10"/>
  <c r="K54" i="10"/>
  <c r="G54" i="10"/>
  <c r="V53" i="10"/>
  <c r="M53" i="10" s="1"/>
  <c r="U53" i="10"/>
  <c r="O53" i="10"/>
  <c r="K53" i="10"/>
  <c r="G53" i="10"/>
  <c r="V52" i="10"/>
  <c r="U52" i="10"/>
  <c r="O52" i="10"/>
  <c r="N52" i="10"/>
  <c r="P52" i="10" s="1"/>
  <c r="M52" i="10"/>
  <c r="AF52" i="10" s="1"/>
  <c r="K52" i="10"/>
  <c r="G52" i="10"/>
  <c r="V51" i="10"/>
  <c r="U51" i="10"/>
  <c r="O51" i="10"/>
  <c r="M51" i="10"/>
  <c r="AF51" i="10" s="1"/>
  <c r="K51" i="10"/>
  <c r="G51" i="10"/>
  <c r="V50" i="10"/>
  <c r="O50" i="10"/>
  <c r="M50" i="10"/>
  <c r="AF50" i="10" s="1"/>
  <c r="K50" i="10"/>
  <c r="G50" i="10"/>
  <c r="AD49" i="10"/>
  <c r="AC49" i="10"/>
  <c r="Z49" i="10"/>
  <c r="H19" i="9" s="1"/>
  <c r="Y49" i="10"/>
  <c r="O49" i="10"/>
  <c r="K49" i="10"/>
  <c r="V48" i="10"/>
  <c r="M48" i="10" s="1"/>
  <c r="U48" i="10"/>
  <c r="O48" i="10"/>
  <c r="K48" i="10"/>
  <c r="G48" i="10"/>
  <c r="V47" i="10"/>
  <c r="U47" i="10"/>
  <c r="O47" i="10"/>
  <c r="M47" i="10"/>
  <c r="AF47" i="10" s="1"/>
  <c r="K47" i="10"/>
  <c r="G47" i="10"/>
  <c r="V46" i="10"/>
  <c r="M46" i="10" s="1"/>
  <c r="U46" i="10"/>
  <c r="O46" i="10"/>
  <c r="K46" i="10"/>
  <c r="G46" i="10"/>
  <c r="V45" i="10"/>
  <c r="U45" i="10"/>
  <c r="O45" i="10"/>
  <c r="M45" i="10"/>
  <c r="AE45" i="10" s="1"/>
  <c r="K45" i="10"/>
  <c r="G45" i="10"/>
  <c r="X44" i="10"/>
  <c r="W44" i="10"/>
  <c r="V44" i="10"/>
  <c r="U44" i="10"/>
  <c r="O44" i="10"/>
  <c r="M44" i="10"/>
  <c r="AF44" i="10" s="1"/>
  <c r="K44" i="10"/>
  <c r="G44" i="10"/>
  <c r="V43" i="10"/>
  <c r="O43" i="10"/>
  <c r="M43" i="10"/>
  <c r="K43" i="10"/>
  <c r="G43" i="10"/>
  <c r="AD42" i="10"/>
  <c r="AC42" i="10"/>
  <c r="Z42" i="10"/>
  <c r="Y42" i="10"/>
  <c r="O42" i="10"/>
  <c r="K42" i="10"/>
  <c r="V41" i="10"/>
  <c r="U41" i="10"/>
  <c r="O41" i="10"/>
  <c r="M41" i="10"/>
  <c r="AE41" i="10" s="1"/>
  <c r="K41" i="10"/>
  <c r="G41" i="10"/>
  <c r="V40" i="10"/>
  <c r="M40" i="10" s="1"/>
  <c r="U40" i="10"/>
  <c r="O40" i="10"/>
  <c r="K40" i="10"/>
  <c r="G40" i="10"/>
  <c r="X39" i="10"/>
  <c r="W39" i="10"/>
  <c r="V39" i="10"/>
  <c r="M39" i="10" s="1"/>
  <c r="N39" i="10" s="1"/>
  <c r="U39" i="10"/>
  <c r="O39" i="10"/>
  <c r="K39" i="10"/>
  <c r="G39" i="10"/>
  <c r="V38" i="10"/>
  <c r="M38" i="10" s="1"/>
  <c r="U38" i="10"/>
  <c r="O38" i="10"/>
  <c r="K38" i="10"/>
  <c r="G38" i="10"/>
  <c r="V37" i="10"/>
  <c r="M37" i="10" s="1"/>
  <c r="U37" i="10"/>
  <c r="O37" i="10"/>
  <c r="K37" i="10"/>
  <c r="G37" i="10"/>
  <c r="X36" i="10"/>
  <c r="W36" i="10"/>
  <c r="V36" i="10"/>
  <c r="M36" i="10" s="1"/>
  <c r="U36" i="10"/>
  <c r="O36" i="10"/>
  <c r="K36" i="10"/>
  <c r="G36" i="10"/>
  <c r="V35" i="10"/>
  <c r="M35" i="10" s="1"/>
  <c r="O35" i="10"/>
  <c r="K35" i="10"/>
  <c r="G35" i="10"/>
  <c r="AD34" i="10"/>
  <c r="AC34" i="10"/>
  <c r="Z34" i="10"/>
  <c r="Y34" i="10"/>
  <c r="O34" i="10"/>
  <c r="K34" i="10"/>
  <c r="V33" i="10"/>
  <c r="M33" i="10" s="1"/>
  <c r="U33" i="10"/>
  <c r="O33" i="10"/>
  <c r="K33" i="10"/>
  <c r="G33" i="10"/>
  <c r="X32" i="10"/>
  <c r="W32" i="10"/>
  <c r="V32" i="10"/>
  <c r="M32" i="10" s="1"/>
  <c r="U32" i="10"/>
  <c r="O32" i="10"/>
  <c r="K32" i="10"/>
  <c r="G32" i="10"/>
  <c r="V31" i="10"/>
  <c r="M31" i="10" s="1"/>
  <c r="U31" i="10"/>
  <c r="O31" i="10"/>
  <c r="K31" i="10"/>
  <c r="G31" i="10"/>
  <c r="V30" i="10"/>
  <c r="M30" i="10" s="1"/>
  <c r="U30" i="10"/>
  <c r="O30" i="10"/>
  <c r="K30" i="10"/>
  <c r="G30" i="10"/>
  <c r="V29" i="10"/>
  <c r="M29" i="10" s="1"/>
  <c r="U29" i="10"/>
  <c r="O29" i="10"/>
  <c r="K29" i="10"/>
  <c r="G29" i="10"/>
  <c r="V28" i="10"/>
  <c r="M28" i="10" s="1"/>
  <c r="U28" i="10"/>
  <c r="O28" i="10"/>
  <c r="K28" i="10"/>
  <c r="G28" i="10"/>
  <c r="X27" i="10"/>
  <c r="W27" i="10"/>
  <c r="V27" i="10"/>
  <c r="M27" i="10" s="1"/>
  <c r="O27" i="10"/>
  <c r="K27" i="10"/>
  <c r="G27" i="10"/>
  <c r="AD26" i="10"/>
  <c r="AC26" i="10"/>
  <c r="Z26" i="10"/>
  <c r="Y26" i="10"/>
  <c r="O26" i="10"/>
  <c r="K26" i="10"/>
  <c r="V25" i="10"/>
  <c r="M25" i="10" s="1"/>
  <c r="U25" i="10"/>
  <c r="O25" i="10"/>
  <c r="K25" i="10"/>
  <c r="G25" i="10"/>
  <c r="X24" i="10"/>
  <c r="W24" i="10"/>
  <c r="V24" i="10"/>
  <c r="M24" i="10" s="1"/>
  <c r="U24" i="10"/>
  <c r="O24" i="10"/>
  <c r="K24" i="10"/>
  <c r="G24" i="10"/>
  <c r="V23" i="10"/>
  <c r="M23" i="10" s="1"/>
  <c r="U23" i="10"/>
  <c r="O23" i="10"/>
  <c r="K23" i="10"/>
  <c r="G23" i="10"/>
  <c r="V22" i="10"/>
  <c r="M22" i="10" s="1"/>
  <c r="U22" i="10"/>
  <c r="O22" i="10"/>
  <c r="K22" i="10"/>
  <c r="G22" i="10"/>
  <c r="V21" i="10"/>
  <c r="M21" i="10" s="1"/>
  <c r="U21" i="10"/>
  <c r="O21" i="10"/>
  <c r="K21" i="10"/>
  <c r="G21" i="10"/>
  <c r="V20" i="10"/>
  <c r="M20" i="10" s="1"/>
  <c r="O20" i="10"/>
  <c r="K20" i="10"/>
  <c r="G20" i="10"/>
  <c r="AD19" i="10"/>
  <c r="AC19" i="10"/>
  <c r="Z19" i="10"/>
  <c r="F19" i="9" s="1"/>
  <c r="Y19" i="10"/>
  <c r="O19" i="10"/>
  <c r="K19" i="10"/>
  <c r="V18" i="10"/>
  <c r="M18" i="10" s="1"/>
  <c r="U18" i="10"/>
  <c r="O18" i="10"/>
  <c r="K18" i="10"/>
  <c r="G18" i="10"/>
  <c r="X17" i="10"/>
  <c r="W17" i="10"/>
  <c r="V17" i="10"/>
  <c r="M17" i="10" s="1"/>
  <c r="U17" i="10"/>
  <c r="O17" i="10"/>
  <c r="K17" i="10"/>
  <c r="G17" i="10"/>
  <c r="V16" i="10"/>
  <c r="M16" i="10" s="1"/>
  <c r="U16" i="10"/>
  <c r="O16" i="10"/>
  <c r="K16" i="10"/>
  <c r="G16" i="10"/>
  <c r="V15" i="10"/>
  <c r="M15" i="10" s="1"/>
  <c r="U15" i="10"/>
  <c r="O15" i="10"/>
  <c r="K15" i="10"/>
  <c r="G15" i="10"/>
  <c r="V14" i="10"/>
  <c r="M14" i="10" s="1"/>
  <c r="O14" i="10"/>
  <c r="K14" i="10"/>
  <c r="G14" i="10"/>
  <c r="AD13" i="10"/>
  <c r="AC13" i="10"/>
  <c r="Z13" i="10"/>
  <c r="Y13" i="10"/>
  <c r="O13" i="10"/>
  <c r="K13" i="10"/>
  <c r="V12" i="10"/>
  <c r="U12" i="10"/>
  <c r="O12" i="10"/>
  <c r="M12" i="10"/>
  <c r="AF12" i="10" s="1"/>
  <c r="K12" i="10"/>
  <c r="G12" i="10"/>
  <c r="F1" i="10" s="1"/>
  <c r="V11" i="10"/>
  <c r="O11" i="10"/>
  <c r="N11" i="10"/>
  <c r="Q11" i="10" s="1"/>
  <c r="M11" i="10"/>
  <c r="K11" i="10"/>
  <c r="G11" i="10"/>
  <c r="AD10" i="10"/>
  <c r="AD2" i="10" s="1"/>
  <c r="N6" i="9" s="1"/>
  <c r="AC10" i="10"/>
  <c r="D20" i="9" s="1"/>
  <c r="Z10" i="10"/>
  <c r="Y10" i="10"/>
  <c r="O10" i="10"/>
  <c r="K10" i="10"/>
  <c r="V9" i="10"/>
  <c r="M9" i="10" s="1"/>
  <c r="U9" i="10"/>
  <c r="O9" i="10"/>
  <c r="K9" i="10"/>
  <c r="G9" i="10"/>
  <c r="V8" i="10"/>
  <c r="M8" i="10" s="1"/>
  <c r="U8" i="10"/>
  <c r="O8" i="10"/>
  <c r="K8" i="10"/>
  <c r="G8" i="10"/>
  <c r="V7" i="10"/>
  <c r="M7" i="10" s="1"/>
  <c r="AE7" i="10" s="1"/>
  <c r="U7" i="10"/>
  <c r="O7" i="10"/>
  <c r="K7" i="10"/>
  <c r="G7" i="10"/>
  <c r="AF6" i="10"/>
  <c r="V6" i="10"/>
  <c r="U6" i="10"/>
  <c r="O6" i="10"/>
  <c r="N6" i="10"/>
  <c r="M6" i="10"/>
  <c r="AE6" i="10" s="1"/>
  <c r="K6" i="10"/>
  <c r="G6" i="10"/>
  <c r="V5" i="10"/>
  <c r="O5" i="10"/>
  <c r="M5" i="10"/>
  <c r="AF5" i="10" s="1"/>
  <c r="K5" i="10"/>
  <c r="G5" i="10"/>
  <c r="H2" i="10"/>
  <c r="H1" i="10"/>
  <c r="D1" i="10"/>
  <c r="M22" i="9"/>
  <c r="L22" i="9"/>
  <c r="K22" i="9"/>
  <c r="J22" i="9"/>
  <c r="I22" i="9"/>
  <c r="H22" i="9"/>
  <c r="G22" i="9"/>
  <c r="F22" i="9"/>
  <c r="E22" i="9"/>
  <c r="D22" i="9"/>
  <c r="M21" i="9"/>
  <c r="L21" i="9"/>
  <c r="K21" i="9"/>
  <c r="J21" i="9"/>
  <c r="I21" i="9"/>
  <c r="H21" i="9"/>
  <c r="G21" i="9"/>
  <c r="F21" i="9"/>
  <c r="E21" i="9"/>
  <c r="D21" i="9"/>
  <c r="M20" i="9"/>
  <c r="L20" i="9"/>
  <c r="K20" i="9"/>
  <c r="J20" i="9"/>
  <c r="I20" i="9"/>
  <c r="H20" i="9"/>
  <c r="G20" i="9"/>
  <c r="F20" i="9"/>
  <c r="E20" i="9"/>
  <c r="M19" i="9"/>
  <c r="L19" i="9"/>
  <c r="K19" i="9"/>
  <c r="J19" i="9"/>
  <c r="I19" i="9"/>
  <c r="G19" i="9"/>
  <c r="E19" i="9"/>
  <c r="D19" i="9"/>
  <c r="M18" i="9"/>
  <c r="L18" i="9"/>
  <c r="K18" i="9"/>
  <c r="J18" i="9"/>
  <c r="I18" i="9"/>
  <c r="H18" i="9"/>
  <c r="G18" i="9"/>
  <c r="F18" i="9"/>
  <c r="E18" i="9"/>
  <c r="D18" i="9"/>
  <c r="M17" i="9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M13" i="9"/>
  <c r="L13" i="9"/>
  <c r="K13" i="9"/>
  <c r="I6" i="9" s="1"/>
  <c r="J13" i="9"/>
  <c r="I13" i="9"/>
  <c r="H13" i="9"/>
  <c r="F6" i="9" s="1"/>
  <c r="G13" i="9"/>
  <c r="F13" i="9"/>
  <c r="E13" i="9"/>
  <c r="D13" i="9"/>
  <c r="F3" i="9"/>
  <c r="C3" i="9"/>
  <c r="AF48" i="10" l="1"/>
  <c r="N48" i="10"/>
  <c r="AE46" i="10"/>
  <c r="AF46" i="10"/>
  <c r="N46" i="10"/>
  <c r="Q46" i="10" s="1"/>
  <c r="AF18" i="10"/>
  <c r="AE18" i="10"/>
  <c r="N18" i="10"/>
  <c r="Q18" i="10" s="1"/>
  <c r="N62" i="10"/>
  <c r="Q62" i="10" s="1"/>
  <c r="AF62" i="10"/>
  <c r="AE62" i="10"/>
  <c r="F2" i="10"/>
  <c r="I3" i="9"/>
  <c r="AF16" i="10"/>
  <c r="N16" i="10"/>
  <c r="Q16" i="10" s="1"/>
  <c r="AE16" i="10"/>
  <c r="AE67" i="10"/>
  <c r="AF67" i="10"/>
  <c r="AE12" i="10"/>
  <c r="Z2" i="10"/>
  <c r="L6" i="9" s="1"/>
  <c r="L14" i="13"/>
  <c r="L15" i="13" s="1"/>
  <c r="Q37" i="14"/>
  <c r="R32" i="14" s="1"/>
  <c r="P37" i="14"/>
  <c r="Y2" i="10"/>
  <c r="K6" i="9" s="1"/>
  <c r="N44" i="10"/>
  <c r="Q44" i="10" s="1"/>
  <c r="AC2" i="10"/>
  <c r="M6" i="9" s="1"/>
  <c r="AF63" i="10"/>
  <c r="AF66" i="10"/>
  <c r="M13" i="10"/>
  <c r="AE13" i="10" s="1"/>
  <c r="AF69" i="10"/>
  <c r="N5" i="10"/>
  <c r="Q5" i="10" s="1"/>
  <c r="G14" i="13"/>
  <c r="G15" i="13" s="1"/>
  <c r="P11" i="10"/>
  <c r="AE44" i="10"/>
  <c r="P24" i="14"/>
  <c r="AE5" i="10"/>
  <c r="AE11" i="10"/>
  <c r="P18" i="10"/>
  <c r="M49" i="10"/>
  <c r="N49" i="10" s="1"/>
  <c r="N12" i="10"/>
  <c r="N43" i="10"/>
  <c r="Q43" i="10" s="1"/>
  <c r="M71" i="10"/>
  <c r="AF71" i="10" s="1"/>
  <c r="AG66" i="10" s="1"/>
  <c r="Q6" i="10"/>
  <c r="E14" i="13"/>
  <c r="E15" i="13" s="1"/>
  <c r="Q13" i="14"/>
  <c r="R11" i="14" s="1"/>
  <c r="P13" i="14"/>
  <c r="Q44" i="14"/>
  <c r="R38" i="14" s="1"/>
  <c r="H14" i="13"/>
  <c r="H15" i="13" s="1"/>
  <c r="P44" i="14"/>
  <c r="P16" i="10"/>
  <c r="P8" i="12"/>
  <c r="AE43" i="10"/>
  <c r="AF43" i="10"/>
  <c r="Q52" i="10"/>
  <c r="G8" i="17"/>
  <c r="E8" i="17"/>
  <c r="F8" i="17"/>
  <c r="G7" i="15"/>
  <c r="F7" i="15"/>
  <c r="D15" i="15"/>
  <c r="E7" i="15"/>
  <c r="K15" i="15"/>
  <c r="I8" i="15" s="1"/>
  <c r="I7" i="15"/>
  <c r="D2" i="14"/>
  <c r="Q10" i="14"/>
  <c r="R5" i="14" s="1"/>
  <c r="D14" i="13"/>
  <c r="P10" i="14"/>
  <c r="P31" i="14"/>
  <c r="K14" i="13"/>
  <c r="Q31" i="14"/>
  <c r="R25" i="14" s="1"/>
  <c r="Q47" i="12"/>
  <c r="P47" i="12"/>
  <c r="Q12" i="12"/>
  <c r="P12" i="12"/>
  <c r="P53" i="12"/>
  <c r="Q53" i="12"/>
  <c r="Q40" i="12"/>
  <c r="P40" i="12"/>
  <c r="Q62" i="12"/>
  <c r="P62" i="12"/>
  <c r="Q35" i="12"/>
  <c r="P35" i="12"/>
  <c r="Q22" i="12"/>
  <c r="P22" i="12"/>
  <c r="Q9" i="12"/>
  <c r="P9" i="12"/>
  <c r="Q31" i="12"/>
  <c r="P31" i="12"/>
  <c r="N24" i="12"/>
  <c r="AF24" i="12"/>
  <c r="AG19" i="12" s="1"/>
  <c r="AE24" i="12"/>
  <c r="Q66" i="12"/>
  <c r="P66" i="12"/>
  <c r="Q45" i="12"/>
  <c r="P45" i="12"/>
  <c r="Q16" i="12"/>
  <c r="P16" i="12"/>
  <c r="P23" i="12"/>
  <c r="Q23" i="12"/>
  <c r="Q29" i="12"/>
  <c r="P29" i="12"/>
  <c r="AF61" i="12"/>
  <c r="AG56" i="12" s="1"/>
  <c r="AE61" i="12"/>
  <c r="N61" i="12"/>
  <c r="Q67" i="12"/>
  <c r="R62" i="12" s="1"/>
  <c r="P67" i="12"/>
  <c r="M14" i="11"/>
  <c r="M15" i="11" s="1"/>
  <c r="Q13" i="12"/>
  <c r="R11" i="12" s="1"/>
  <c r="E14" i="11"/>
  <c r="E15" i="11" s="1"/>
  <c r="P13" i="12"/>
  <c r="Q15" i="12"/>
  <c r="P15" i="12"/>
  <c r="Q26" i="12"/>
  <c r="P26" i="12"/>
  <c r="Q28" i="12"/>
  <c r="P28" i="12"/>
  <c r="P27" i="12"/>
  <c r="Q27" i="12"/>
  <c r="F14" i="11"/>
  <c r="F15" i="11" s="1"/>
  <c r="Q18" i="12"/>
  <c r="R14" i="12" s="1"/>
  <c r="P18" i="12"/>
  <c r="AE10" i="12"/>
  <c r="N10" i="12"/>
  <c r="AF10" i="12"/>
  <c r="AG5" i="12" s="1"/>
  <c r="Q64" i="12"/>
  <c r="P64" i="12"/>
  <c r="AF32" i="12"/>
  <c r="AG25" i="12" s="1"/>
  <c r="N32" i="12"/>
  <c r="AE32" i="12"/>
  <c r="Q5" i="12"/>
  <c r="P5" i="12"/>
  <c r="Q60" i="12"/>
  <c r="P60" i="12"/>
  <c r="Q54" i="12"/>
  <c r="P54" i="12"/>
  <c r="Q51" i="12"/>
  <c r="P51" i="12"/>
  <c r="Q52" i="12"/>
  <c r="P52" i="12"/>
  <c r="Q6" i="12"/>
  <c r="P6" i="12"/>
  <c r="AF39" i="12"/>
  <c r="AG33" i="12" s="1"/>
  <c r="N39" i="12"/>
  <c r="AE39" i="12"/>
  <c r="Q48" i="12"/>
  <c r="P48" i="12"/>
  <c r="Q44" i="12"/>
  <c r="P44" i="12"/>
  <c r="Q25" i="12"/>
  <c r="P25" i="12"/>
  <c r="P50" i="12"/>
  <c r="Q50" i="12"/>
  <c r="Q57" i="12"/>
  <c r="P57" i="12"/>
  <c r="Q14" i="12"/>
  <c r="P14" i="12"/>
  <c r="AF46" i="12"/>
  <c r="AG40" i="12" s="1"/>
  <c r="AE46" i="12"/>
  <c r="N46" i="12"/>
  <c r="Q34" i="12"/>
  <c r="P34" i="12"/>
  <c r="N55" i="12"/>
  <c r="AE55" i="12"/>
  <c r="AF55" i="12"/>
  <c r="AG47" i="12" s="1"/>
  <c r="Q11" i="12"/>
  <c r="P11" i="12"/>
  <c r="Q21" i="12"/>
  <c r="P21" i="12"/>
  <c r="Q43" i="12"/>
  <c r="P43" i="12"/>
  <c r="Q65" i="12"/>
  <c r="P65" i="12"/>
  <c r="Q56" i="12"/>
  <c r="P56" i="12"/>
  <c r="P19" i="12"/>
  <c r="Q19" i="12"/>
  <c r="P20" i="12"/>
  <c r="Q20" i="12"/>
  <c r="N38" i="10"/>
  <c r="AF38" i="10"/>
  <c r="AE38" i="10"/>
  <c r="AF9" i="10"/>
  <c r="AE9" i="10"/>
  <c r="N9" i="10"/>
  <c r="N27" i="10"/>
  <c r="AF27" i="10"/>
  <c r="M34" i="10"/>
  <c r="AE27" i="10"/>
  <c r="N29" i="10"/>
  <c r="AF29" i="10"/>
  <c r="AE29" i="10"/>
  <c r="N54" i="10"/>
  <c r="AF54" i="10"/>
  <c r="AE54" i="10"/>
  <c r="N36" i="10"/>
  <c r="AF36" i="10"/>
  <c r="AE36" i="10"/>
  <c r="N25" i="10"/>
  <c r="AF25" i="10"/>
  <c r="AE25" i="10"/>
  <c r="N40" i="10"/>
  <c r="AF40" i="10"/>
  <c r="AE40" i="10"/>
  <c r="N17" i="10"/>
  <c r="AF17" i="10"/>
  <c r="AE17" i="10"/>
  <c r="N32" i="10"/>
  <c r="AF32" i="10"/>
  <c r="AE32" i="10"/>
  <c r="N57" i="10"/>
  <c r="AF57" i="10"/>
  <c r="AE57" i="10"/>
  <c r="AF15" i="10"/>
  <c r="AE15" i="10"/>
  <c r="N15" i="10"/>
  <c r="N21" i="10"/>
  <c r="AF21" i="10"/>
  <c r="AE21" i="10"/>
  <c r="Q39" i="10"/>
  <c r="P39" i="10"/>
  <c r="N61" i="10"/>
  <c r="AF61" i="10"/>
  <c r="AE61" i="10"/>
  <c r="N23" i="10"/>
  <c r="AF23" i="10"/>
  <c r="AE23" i="10"/>
  <c r="N30" i="10"/>
  <c r="AF30" i="10"/>
  <c r="AE30" i="10"/>
  <c r="AF49" i="10"/>
  <c r="AG43" i="10" s="1"/>
  <c r="AE49" i="10"/>
  <c r="N55" i="10"/>
  <c r="AF55" i="10"/>
  <c r="AE55" i="10"/>
  <c r="M10" i="10"/>
  <c r="AF8" i="10"/>
  <c r="AE8" i="10"/>
  <c r="N8" i="10"/>
  <c r="N24" i="10"/>
  <c r="AF24" i="10"/>
  <c r="AE24" i="10"/>
  <c r="N28" i="10"/>
  <c r="AF28" i="10"/>
  <c r="AE28" i="10"/>
  <c r="N53" i="10"/>
  <c r="AF53" i="10"/>
  <c r="AE53" i="10"/>
  <c r="N35" i="10"/>
  <c r="M42" i="10"/>
  <c r="AF35" i="10"/>
  <c r="AE35" i="10"/>
  <c r="N37" i="10"/>
  <c r="AF37" i="10"/>
  <c r="AE37" i="10"/>
  <c r="N60" i="10"/>
  <c r="AF60" i="10"/>
  <c r="M65" i="10"/>
  <c r="AE60" i="10"/>
  <c r="AF13" i="10"/>
  <c r="AG11" i="10" s="1"/>
  <c r="M19" i="10"/>
  <c r="AF14" i="10"/>
  <c r="AE14" i="10"/>
  <c r="N14" i="10"/>
  <c r="N22" i="10"/>
  <c r="AF22" i="10"/>
  <c r="AE22" i="10"/>
  <c r="N31" i="10"/>
  <c r="AF31" i="10"/>
  <c r="AE31" i="10"/>
  <c r="N33" i="10"/>
  <c r="AF33" i="10"/>
  <c r="AE33" i="10"/>
  <c r="N56" i="10"/>
  <c r="AF56" i="10"/>
  <c r="AE56" i="10"/>
  <c r="N58" i="10"/>
  <c r="AF58" i="10"/>
  <c r="AE58" i="10"/>
  <c r="N20" i="10"/>
  <c r="M26" i="10"/>
  <c r="AF20" i="10"/>
  <c r="AE20" i="10"/>
  <c r="AF7" i="10"/>
  <c r="AF41" i="10"/>
  <c r="AF45" i="10"/>
  <c r="AE39" i="10"/>
  <c r="N50" i="10"/>
  <c r="N51" i="10"/>
  <c r="AF39" i="10"/>
  <c r="N71" i="10"/>
  <c r="E6" i="9"/>
  <c r="G6" i="9"/>
  <c r="N47" i="10"/>
  <c r="N66" i="10"/>
  <c r="N69" i="10"/>
  <c r="N64" i="10"/>
  <c r="N68" i="10"/>
  <c r="N70" i="10"/>
  <c r="N7" i="10"/>
  <c r="N41" i="10"/>
  <c r="N45" i="10"/>
  <c r="M59" i="10"/>
  <c r="N63" i="10"/>
  <c r="N67" i="10"/>
  <c r="P43" i="10"/>
  <c r="P44" i="10"/>
  <c r="P46" i="10"/>
  <c r="AE52" i="10"/>
  <c r="AE50" i="10"/>
  <c r="AE51" i="10"/>
  <c r="P5" i="10"/>
  <c r="P6" i="10"/>
  <c r="AE48" i="10"/>
  <c r="AF11" i="10"/>
  <c r="AE47" i="10"/>
  <c r="AE64" i="10"/>
  <c r="AE68" i="10"/>
  <c r="AE70" i="10"/>
  <c r="AE71" i="10"/>
  <c r="AD73" i="8"/>
  <c r="Z73" i="8"/>
  <c r="Y73" i="8"/>
  <c r="O73" i="8"/>
  <c r="K73" i="8"/>
  <c r="V72" i="8"/>
  <c r="M72" i="8" s="1"/>
  <c r="AE72" i="8" s="1"/>
  <c r="U72" i="8"/>
  <c r="O72" i="8"/>
  <c r="K72" i="8"/>
  <c r="G72" i="8"/>
  <c r="X71" i="8"/>
  <c r="W71" i="8"/>
  <c r="V71" i="8"/>
  <c r="U71" i="8"/>
  <c r="O71" i="8"/>
  <c r="M71" i="8"/>
  <c r="AE71" i="8" s="1"/>
  <c r="K71" i="8"/>
  <c r="G71" i="8"/>
  <c r="V70" i="8"/>
  <c r="M70" i="8" s="1"/>
  <c r="AE70" i="8" s="1"/>
  <c r="U70" i="8"/>
  <c r="O70" i="8"/>
  <c r="K70" i="8"/>
  <c r="G70" i="8"/>
  <c r="V69" i="8"/>
  <c r="M69" i="8" s="1"/>
  <c r="U69" i="8"/>
  <c r="O69" i="8"/>
  <c r="K69" i="8"/>
  <c r="G69" i="8"/>
  <c r="AF68" i="8"/>
  <c r="V68" i="8"/>
  <c r="O68" i="8"/>
  <c r="N68" i="8"/>
  <c r="M68" i="8"/>
  <c r="AE68" i="8" s="1"/>
  <c r="K68" i="8"/>
  <c r="G68" i="8"/>
  <c r="AD67" i="8"/>
  <c r="Z67" i="8"/>
  <c r="Y67" i="8"/>
  <c r="O67" i="8"/>
  <c r="K67" i="8"/>
  <c r="V66" i="8"/>
  <c r="M66" i="8" s="1"/>
  <c r="U66" i="8"/>
  <c r="O66" i="8"/>
  <c r="K66" i="8"/>
  <c r="G66" i="8"/>
  <c r="V65" i="8"/>
  <c r="M65" i="8" s="1"/>
  <c r="U65" i="8"/>
  <c r="O65" i="8"/>
  <c r="K65" i="8"/>
  <c r="G65" i="8"/>
  <c r="V64" i="8"/>
  <c r="M64" i="8" s="1"/>
  <c r="U64" i="8"/>
  <c r="O64" i="8"/>
  <c r="K64" i="8"/>
  <c r="G64" i="8"/>
  <c r="V63" i="8"/>
  <c r="M63" i="8" s="1"/>
  <c r="U63" i="8"/>
  <c r="O63" i="8"/>
  <c r="K63" i="8"/>
  <c r="G63" i="8"/>
  <c r="V62" i="8"/>
  <c r="M62" i="8" s="1"/>
  <c r="O62" i="8"/>
  <c r="K62" i="8"/>
  <c r="G62" i="8"/>
  <c r="AD61" i="8"/>
  <c r="Z61" i="8"/>
  <c r="I19" i="7" s="1"/>
  <c r="Y61" i="8"/>
  <c r="O61" i="8"/>
  <c r="K61" i="8"/>
  <c r="V60" i="8"/>
  <c r="M60" i="8" s="1"/>
  <c r="U60" i="8"/>
  <c r="O60" i="8"/>
  <c r="K60" i="8"/>
  <c r="G60" i="8"/>
  <c r="X59" i="8"/>
  <c r="W59" i="8"/>
  <c r="V59" i="8"/>
  <c r="M59" i="8" s="1"/>
  <c r="U59" i="8"/>
  <c r="O59" i="8"/>
  <c r="K59" i="8"/>
  <c r="G59" i="8"/>
  <c r="V58" i="8"/>
  <c r="M58" i="8" s="1"/>
  <c r="U58" i="8"/>
  <c r="O58" i="8"/>
  <c r="K58" i="8"/>
  <c r="G58" i="8"/>
  <c r="V57" i="8"/>
  <c r="U57" i="8"/>
  <c r="O57" i="8"/>
  <c r="N57" i="8"/>
  <c r="Q57" i="8" s="1"/>
  <c r="M57" i="8"/>
  <c r="AF57" i="8" s="1"/>
  <c r="K57" i="8"/>
  <c r="G57" i="8"/>
  <c r="V56" i="8"/>
  <c r="U56" i="8"/>
  <c r="O56" i="8"/>
  <c r="M56" i="8"/>
  <c r="AF56" i="8" s="1"/>
  <c r="K56" i="8"/>
  <c r="G56" i="8"/>
  <c r="V55" i="8"/>
  <c r="U55" i="8"/>
  <c r="O55" i="8"/>
  <c r="M55" i="8"/>
  <c r="AF55" i="8" s="1"/>
  <c r="K55" i="8"/>
  <c r="G55" i="8"/>
  <c r="V54" i="8"/>
  <c r="U54" i="8"/>
  <c r="O54" i="8"/>
  <c r="M54" i="8"/>
  <c r="AE54" i="8" s="1"/>
  <c r="K54" i="8"/>
  <c r="G54" i="8"/>
  <c r="V53" i="8"/>
  <c r="U53" i="8"/>
  <c r="O53" i="8"/>
  <c r="N53" i="8"/>
  <c r="Q53" i="8" s="1"/>
  <c r="M53" i="8"/>
  <c r="AE53" i="8" s="1"/>
  <c r="K53" i="8"/>
  <c r="G53" i="8"/>
  <c r="V52" i="8"/>
  <c r="M52" i="8" s="1"/>
  <c r="O52" i="8"/>
  <c r="K52" i="8"/>
  <c r="G52" i="8"/>
  <c r="AD51" i="8"/>
  <c r="Z51" i="8"/>
  <c r="Y51" i="8"/>
  <c r="O51" i="8"/>
  <c r="K51" i="8"/>
  <c r="V50" i="8"/>
  <c r="M50" i="8" s="1"/>
  <c r="U50" i="8"/>
  <c r="O50" i="8"/>
  <c r="K50" i="8"/>
  <c r="G50" i="8"/>
  <c r="X49" i="8"/>
  <c r="W49" i="8"/>
  <c r="V49" i="8"/>
  <c r="M49" i="8" s="1"/>
  <c r="U49" i="8"/>
  <c r="O49" i="8"/>
  <c r="K49" i="8"/>
  <c r="G49" i="8"/>
  <c r="V48" i="8"/>
  <c r="M48" i="8" s="1"/>
  <c r="U48" i="8"/>
  <c r="O48" i="8"/>
  <c r="K48" i="8"/>
  <c r="G48" i="8"/>
  <c r="V47" i="8"/>
  <c r="M47" i="8" s="1"/>
  <c r="U47" i="8"/>
  <c r="O47" i="8"/>
  <c r="K47" i="8"/>
  <c r="G47" i="8"/>
  <c r="V46" i="8"/>
  <c r="M46" i="8" s="1"/>
  <c r="U46" i="8"/>
  <c r="O46" i="8"/>
  <c r="K46" i="8"/>
  <c r="G46" i="8"/>
  <c r="X45" i="8"/>
  <c r="W45" i="8"/>
  <c r="V45" i="8"/>
  <c r="M45" i="8" s="1"/>
  <c r="U45" i="8"/>
  <c r="O45" i="8"/>
  <c r="K45" i="8"/>
  <c r="G45" i="8"/>
  <c r="V44" i="8"/>
  <c r="M44" i="8" s="1"/>
  <c r="O44" i="8"/>
  <c r="K44" i="8"/>
  <c r="G44" i="8"/>
  <c r="AD43" i="8"/>
  <c r="Z43" i="8"/>
  <c r="L19" i="7" s="1"/>
  <c r="Y43" i="8"/>
  <c r="O43" i="8"/>
  <c r="K43" i="8"/>
  <c r="V42" i="8"/>
  <c r="M42" i="8" s="1"/>
  <c r="U42" i="8"/>
  <c r="O42" i="8"/>
  <c r="K42" i="8"/>
  <c r="G42" i="8"/>
  <c r="V41" i="8"/>
  <c r="M41" i="8" s="1"/>
  <c r="U41" i="8"/>
  <c r="O41" i="8"/>
  <c r="K41" i="8"/>
  <c r="G41" i="8"/>
  <c r="X40" i="8"/>
  <c r="W40" i="8"/>
  <c r="V40" i="8"/>
  <c r="M40" i="8" s="1"/>
  <c r="U40" i="8"/>
  <c r="O40" i="8"/>
  <c r="K40" i="8"/>
  <c r="G40" i="8"/>
  <c r="V39" i="8"/>
  <c r="M39" i="8" s="1"/>
  <c r="U39" i="8"/>
  <c r="O39" i="8"/>
  <c r="K39" i="8"/>
  <c r="G39" i="8"/>
  <c r="V38" i="8"/>
  <c r="M38" i="8" s="1"/>
  <c r="U38" i="8"/>
  <c r="O38" i="8"/>
  <c r="K38" i="8"/>
  <c r="G38" i="8"/>
  <c r="X37" i="8"/>
  <c r="W37" i="8"/>
  <c r="V37" i="8"/>
  <c r="M37" i="8" s="1"/>
  <c r="U37" i="8"/>
  <c r="O37" i="8"/>
  <c r="K37" i="8"/>
  <c r="G37" i="8"/>
  <c r="V36" i="8"/>
  <c r="M36" i="8" s="1"/>
  <c r="O36" i="8"/>
  <c r="K36" i="8"/>
  <c r="G36" i="8"/>
  <c r="AD35" i="8"/>
  <c r="Z35" i="8"/>
  <c r="Y35" i="8"/>
  <c r="K18" i="7" s="1"/>
  <c r="O35" i="8"/>
  <c r="K35" i="8"/>
  <c r="V34" i="8"/>
  <c r="M34" i="8" s="1"/>
  <c r="U34" i="8"/>
  <c r="O34" i="8"/>
  <c r="K34" i="8"/>
  <c r="G34" i="8"/>
  <c r="V33" i="8"/>
  <c r="U33" i="8"/>
  <c r="O33" i="8"/>
  <c r="M33" i="8"/>
  <c r="AF33" i="8" s="1"/>
  <c r="K33" i="8"/>
  <c r="G33" i="8"/>
  <c r="X32" i="8"/>
  <c r="W32" i="8"/>
  <c r="V32" i="8"/>
  <c r="M32" i="8" s="1"/>
  <c r="U32" i="8"/>
  <c r="O32" i="8"/>
  <c r="K32" i="8"/>
  <c r="G32" i="8"/>
  <c r="V31" i="8"/>
  <c r="U31" i="8"/>
  <c r="O31" i="8"/>
  <c r="M31" i="8"/>
  <c r="AF31" i="8" s="1"/>
  <c r="K31" i="8"/>
  <c r="G31" i="8"/>
  <c r="V30" i="8"/>
  <c r="U30" i="8"/>
  <c r="O30" i="8"/>
  <c r="M30" i="8"/>
  <c r="AF30" i="8" s="1"/>
  <c r="K30" i="8"/>
  <c r="G30" i="8"/>
  <c r="V29" i="8"/>
  <c r="U29" i="8"/>
  <c r="O29" i="8"/>
  <c r="M29" i="8"/>
  <c r="AE29" i="8" s="1"/>
  <c r="K29" i="8"/>
  <c r="G29" i="8"/>
  <c r="V28" i="8"/>
  <c r="M28" i="8" s="1"/>
  <c r="U28" i="8"/>
  <c r="O28" i="8"/>
  <c r="K28" i="8"/>
  <c r="G28" i="8"/>
  <c r="X27" i="8"/>
  <c r="W27" i="8"/>
  <c r="V27" i="8"/>
  <c r="M27" i="8" s="1"/>
  <c r="O27" i="8"/>
  <c r="K27" i="8"/>
  <c r="G27" i="8"/>
  <c r="AD26" i="8"/>
  <c r="Z26" i="8"/>
  <c r="Y26" i="8"/>
  <c r="O26" i="8"/>
  <c r="K26" i="8"/>
  <c r="V25" i="8"/>
  <c r="M25" i="8" s="1"/>
  <c r="U25" i="8"/>
  <c r="O25" i="8"/>
  <c r="K25" i="8"/>
  <c r="G25" i="8"/>
  <c r="X24" i="8"/>
  <c r="W24" i="8"/>
  <c r="V24" i="8"/>
  <c r="M24" i="8" s="1"/>
  <c r="N24" i="8" s="1"/>
  <c r="U24" i="8"/>
  <c r="O24" i="8"/>
  <c r="K24" i="8"/>
  <c r="G24" i="8"/>
  <c r="AF23" i="8"/>
  <c r="V23" i="8"/>
  <c r="U23" i="8"/>
  <c r="O23" i="8"/>
  <c r="M23" i="8"/>
  <c r="AE23" i="8" s="1"/>
  <c r="K23" i="8"/>
  <c r="G23" i="8"/>
  <c r="AF22" i="8"/>
  <c r="V22" i="8"/>
  <c r="U22" i="8"/>
  <c r="O22" i="8"/>
  <c r="M22" i="8"/>
  <c r="N22" i="8" s="1"/>
  <c r="K22" i="8"/>
  <c r="G22" i="8"/>
  <c r="V21" i="8"/>
  <c r="M21" i="8" s="1"/>
  <c r="U21" i="8"/>
  <c r="O21" i="8"/>
  <c r="K21" i="8"/>
  <c r="G21" i="8"/>
  <c r="V20" i="8"/>
  <c r="M20" i="8" s="1"/>
  <c r="O20" i="8"/>
  <c r="K20" i="8"/>
  <c r="G20" i="8"/>
  <c r="AD19" i="8"/>
  <c r="F21" i="7" s="1"/>
  <c r="Z19" i="8"/>
  <c r="Y19" i="8"/>
  <c r="O19" i="8"/>
  <c r="K19" i="8"/>
  <c r="V18" i="8"/>
  <c r="M18" i="8" s="1"/>
  <c r="U18" i="8"/>
  <c r="O18" i="8"/>
  <c r="K18" i="8"/>
  <c r="G18" i="8"/>
  <c r="X17" i="8"/>
  <c r="W17" i="8"/>
  <c r="V17" i="8"/>
  <c r="M17" i="8" s="1"/>
  <c r="U17" i="8"/>
  <c r="O17" i="8"/>
  <c r="K17" i="8"/>
  <c r="G17" i="8"/>
  <c r="V16" i="8"/>
  <c r="M16" i="8" s="1"/>
  <c r="U16" i="8"/>
  <c r="O16" i="8"/>
  <c r="K16" i="8"/>
  <c r="G16" i="8"/>
  <c r="V15" i="8"/>
  <c r="M15" i="8" s="1"/>
  <c r="U15" i="8"/>
  <c r="O15" i="8"/>
  <c r="K15" i="8"/>
  <c r="G15" i="8"/>
  <c r="V14" i="8"/>
  <c r="M14" i="8" s="1"/>
  <c r="O14" i="8"/>
  <c r="K14" i="8"/>
  <c r="G14" i="8"/>
  <c r="AD13" i="8"/>
  <c r="E21" i="7" s="1"/>
  <c r="Z13" i="8"/>
  <c r="Y13" i="8"/>
  <c r="O13" i="8"/>
  <c r="K13" i="8"/>
  <c r="V12" i="8"/>
  <c r="M12" i="8" s="1"/>
  <c r="U12" i="8"/>
  <c r="O12" i="8"/>
  <c r="K12" i="8"/>
  <c r="G12" i="8"/>
  <c r="V11" i="8"/>
  <c r="M11" i="8" s="1"/>
  <c r="O11" i="8"/>
  <c r="K11" i="8"/>
  <c r="G11" i="8"/>
  <c r="AD10" i="8"/>
  <c r="Z10" i="8"/>
  <c r="Y10" i="8"/>
  <c r="O10" i="8"/>
  <c r="K10" i="8"/>
  <c r="V9" i="8"/>
  <c r="U9" i="8"/>
  <c r="O9" i="8"/>
  <c r="M9" i="8"/>
  <c r="AF9" i="8" s="1"/>
  <c r="K9" i="8"/>
  <c r="G9" i="8"/>
  <c r="V8" i="8"/>
  <c r="M8" i="8" s="1"/>
  <c r="U8" i="8"/>
  <c r="O8" i="8"/>
  <c r="K8" i="8"/>
  <c r="G8" i="8"/>
  <c r="V7" i="8"/>
  <c r="U7" i="8"/>
  <c r="O7" i="8"/>
  <c r="M7" i="8"/>
  <c r="AE7" i="8" s="1"/>
  <c r="K7" i="8"/>
  <c r="G7" i="8"/>
  <c r="V6" i="8"/>
  <c r="M6" i="8" s="1"/>
  <c r="U6" i="8"/>
  <c r="O6" i="8"/>
  <c r="K6" i="8"/>
  <c r="G6" i="8"/>
  <c r="V5" i="8"/>
  <c r="M5" i="8" s="1"/>
  <c r="O5" i="8"/>
  <c r="K5" i="8"/>
  <c r="G5" i="8"/>
  <c r="AD2" i="8"/>
  <c r="H2" i="8"/>
  <c r="H1" i="8"/>
  <c r="D1" i="8"/>
  <c r="M22" i="7"/>
  <c r="L22" i="7"/>
  <c r="K22" i="7"/>
  <c r="J22" i="7"/>
  <c r="I22" i="7"/>
  <c r="H22" i="7"/>
  <c r="G22" i="7"/>
  <c r="F22" i="7"/>
  <c r="E22" i="7"/>
  <c r="D22" i="7"/>
  <c r="M21" i="7"/>
  <c r="L21" i="7"/>
  <c r="K21" i="7"/>
  <c r="J21" i="7"/>
  <c r="I21" i="7"/>
  <c r="H21" i="7"/>
  <c r="G21" i="7"/>
  <c r="D21" i="7"/>
  <c r="M20" i="7"/>
  <c r="L20" i="7"/>
  <c r="K20" i="7"/>
  <c r="J20" i="7"/>
  <c r="I20" i="7"/>
  <c r="H20" i="7"/>
  <c r="G20" i="7"/>
  <c r="F20" i="7"/>
  <c r="E20" i="7"/>
  <c r="D20" i="7"/>
  <c r="M19" i="7"/>
  <c r="K19" i="7"/>
  <c r="J19" i="7"/>
  <c r="H19" i="7"/>
  <c r="G19" i="7"/>
  <c r="F19" i="7"/>
  <c r="E19" i="7"/>
  <c r="D19" i="7"/>
  <c r="M18" i="7"/>
  <c r="L18" i="7"/>
  <c r="J18" i="7"/>
  <c r="I18" i="7"/>
  <c r="H18" i="7"/>
  <c r="G18" i="7"/>
  <c r="F18" i="7"/>
  <c r="E18" i="7"/>
  <c r="D18" i="7"/>
  <c r="M17" i="7"/>
  <c r="L17" i="7"/>
  <c r="K17" i="7"/>
  <c r="J17" i="7"/>
  <c r="I17" i="7"/>
  <c r="H17" i="7"/>
  <c r="G17" i="7"/>
  <c r="F17" i="7"/>
  <c r="E17" i="7"/>
  <c r="D17" i="7"/>
  <c r="M16" i="7"/>
  <c r="L16" i="7"/>
  <c r="K16" i="7"/>
  <c r="J16" i="7"/>
  <c r="I16" i="7"/>
  <c r="H16" i="7"/>
  <c r="G16" i="7"/>
  <c r="F16" i="7"/>
  <c r="E16" i="7"/>
  <c r="D16" i="7"/>
  <c r="M13" i="7"/>
  <c r="L13" i="7"/>
  <c r="K13" i="7"/>
  <c r="I6" i="7" s="1"/>
  <c r="J13" i="7"/>
  <c r="I13" i="7"/>
  <c r="H13" i="7"/>
  <c r="E6" i="7" s="1"/>
  <c r="G13" i="7"/>
  <c r="F13" i="7"/>
  <c r="E13" i="7"/>
  <c r="D13" i="7"/>
  <c r="N6" i="7"/>
  <c r="M6" i="7"/>
  <c r="F3" i="7"/>
  <c r="C3" i="7"/>
  <c r="M61" i="8" l="1"/>
  <c r="AF61" i="8" s="1"/>
  <c r="AG52" i="8" s="1"/>
  <c r="AF52" i="8"/>
  <c r="N52" i="8"/>
  <c r="Q52" i="8" s="1"/>
  <c r="N49" i="8"/>
  <c r="AF49" i="8"/>
  <c r="M10" i="8"/>
  <c r="AF5" i="8"/>
  <c r="N5" i="8"/>
  <c r="Q5" i="8" s="1"/>
  <c r="AE28" i="8"/>
  <c r="AF28" i="8"/>
  <c r="N28" i="8"/>
  <c r="Q28" i="8" s="1"/>
  <c r="AF32" i="8"/>
  <c r="N32" i="8"/>
  <c r="AE25" i="8"/>
  <c r="N25" i="8"/>
  <c r="Q25" i="8" s="1"/>
  <c r="AF25" i="8"/>
  <c r="M35" i="8"/>
  <c r="AF35" i="8" s="1"/>
  <c r="AG27" i="8" s="1"/>
  <c r="AF27" i="8"/>
  <c r="N27" i="8"/>
  <c r="Q27" i="8" s="1"/>
  <c r="AE69" i="8"/>
  <c r="AF69" i="8"/>
  <c r="N69" i="8"/>
  <c r="Q69" i="8" s="1"/>
  <c r="AF8" i="8"/>
  <c r="N8" i="8"/>
  <c r="Q8" i="8" s="1"/>
  <c r="AF34" i="8"/>
  <c r="N34" i="8"/>
  <c r="AE6" i="8"/>
  <c r="AF6" i="8"/>
  <c r="N6" i="8"/>
  <c r="Q6" i="8" s="1"/>
  <c r="P57" i="8"/>
  <c r="Q12" i="10"/>
  <c r="P12" i="10"/>
  <c r="N23" i="8"/>
  <c r="Q23" i="8" s="1"/>
  <c r="AF71" i="8"/>
  <c r="N55" i="8"/>
  <c r="Q55" i="8" s="1"/>
  <c r="N30" i="8"/>
  <c r="Q30" i="8" s="1"/>
  <c r="Y2" i="8"/>
  <c r="K6" i="7" s="1"/>
  <c r="AF53" i="8"/>
  <c r="Z2" i="8"/>
  <c r="L6" i="7" s="1"/>
  <c r="N13" i="10"/>
  <c r="P13" i="10" s="1"/>
  <c r="Q68" i="8"/>
  <c r="N71" i="8"/>
  <c r="Q71" i="8" s="1"/>
  <c r="P62" i="10"/>
  <c r="Q48" i="10"/>
  <c r="P48" i="10"/>
  <c r="F1" i="8"/>
  <c r="G8" i="15"/>
  <c r="E8" i="15"/>
  <c r="F8" i="15"/>
  <c r="I7" i="13"/>
  <c r="K15" i="13"/>
  <c r="I8" i="13" s="1"/>
  <c r="E7" i="13"/>
  <c r="D15" i="13"/>
  <c r="F7" i="13"/>
  <c r="G7" i="13"/>
  <c r="Q32" i="12"/>
  <c r="R25" i="12" s="1"/>
  <c r="P32" i="12"/>
  <c r="K14" i="11"/>
  <c r="Q61" i="12"/>
  <c r="R56" i="12" s="1"/>
  <c r="P61" i="12"/>
  <c r="J14" i="11"/>
  <c r="J15" i="11" s="1"/>
  <c r="Q39" i="12"/>
  <c r="R33" i="12" s="1"/>
  <c r="P39" i="12"/>
  <c r="L14" i="11"/>
  <c r="L15" i="11" s="1"/>
  <c r="Q24" i="12"/>
  <c r="R19" i="12" s="1"/>
  <c r="P24" i="12"/>
  <c r="G14" i="11"/>
  <c r="G15" i="11" s="1"/>
  <c r="H14" i="11"/>
  <c r="H15" i="11" s="1"/>
  <c r="Q46" i="12"/>
  <c r="R40" i="12" s="1"/>
  <c r="P46" i="12"/>
  <c r="D2" i="12"/>
  <c r="Q10" i="12"/>
  <c r="R5" i="12" s="1"/>
  <c r="P10" i="12"/>
  <c r="D14" i="11"/>
  <c r="Q55" i="12"/>
  <c r="R47" i="12" s="1"/>
  <c r="P55" i="12"/>
  <c r="I14" i="11"/>
  <c r="I15" i="11" s="1"/>
  <c r="Q69" i="10"/>
  <c r="P69" i="10"/>
  <c r="Q13" i="10"/>
  <c r="R11" i="10" s="1"/>
  <c r="E14" i="9"/>
  <c r="E15" i="9" s="1"/>
  <c r="AE42" i="10"/>
  <c r="N42" i="10"/>
  <c r="AF42" i="10"/>
  <c r="AG35" i="10" s="1"/>
  <c r="Q21" i="10"/>
  <c r="P21" i="10"/>
  <c r="Q17" i="10"/>
  <c r="P17" i="10"/>
  <c r="Q47" i="10"/>
  <c r="P47" i="10"/>
  <c r="AF10" i="10"/>
  <c r="AG5" i="10" s="1"/>
  <c r="AE10" i="10"/>
  <c r="N10" i="10"/>
  <c r="P23" i="10"/>
  <c r="Q23" i="10"/>
  <c r="N26" i="10"/>
  <c r="AF26" i="10"/>
  <c r="AG20" i="10" s="1"/>
  <c r="AE26" i="10"/>
  <c r="P29" i="10"/>
  <c r="Q29" i="10"/>
  <c r="N59" i="10"/>
  <c r="AF59" i="10"/>
  <c r="AG50" i="10" s="1"/>
  <c r="AE59" i="10"/>
  <c r="Q71" i="10"/>
  <c r="R66" i="10" s="1"/>
  <c r="P71" i="10"/>
  <c r="M14" i="9"/>
  <c r="M15" i="9" s="1"/>
  <c r="P55" i="10"/>
  <c r="Q55" i="10"/>
  <c r="Q61" i="10"/>
  <c r="P61" i="10"/>
  <c r="N34" i="10"/>
  <c r="AF34" i="10"/>
  <c r="AG27" i="10" s="1"/>
  <c r="AE34" i="10"/>
  <c r="Q67" i="10"/>
  <c r="P67" i="10"/>
  <c r="Q40" i="10"/>
  <c r="P40" i="10"/>
  <c r="Q45" i="10"/>
  <c r="P45" i="10"/>
  <c r="Q60" i="10"/>
  <c r="P60" i="10"/>
  <c r="Q49" i="10"/>
  <c r="R43" i="10" s="1"/>
  <c r="H14" i="9"/>
  <c r="H15" i="9" s="1"/>
  <c r="P49" i="10"/>
  <c r="Q57" i="10"/>
  <c r="P57" i="10"/>
  <c r="P25" i="10"/>
  <c r="Q25" i="10"/>
  <c r="Q63" i="10"/>
  <c r="P63" i="10"/>
  <c r="Q41" i="10"/>
  <c r="P41" i="10"/>
  <c r="Q51" i="10"/>
  <c r="P51" i="10"/>
  <c r="Q58" i="10"/>
  <c r="P58" i="10"/>
  <c r="Q22" i="10"/>
  <c r="P22" i="10"/>
  <c r="Q28" i="10"/>
  <c r="P28" i="10"/>
  <c r="Q27" i="10"/>
  <c r="P27" i="10"/>
  <c r="AF65" i="10"/>
  <c r="AG60" i="10" s="1"/>
  <c r="AE65" i="10"/>
  <c r="N65" i="10"/>
  <c r="Q7" i="10"/>
  <c r="P7" i="10"/>
  <c r="Q50" i="10"/>
  <c r="P50" i="10"/>
  <c r="Q14" i="10"/>
  <c r="P14" i="10"/>
  <c r="Q9" i="10"/>
  <c r="P9" i="10"/>
  <c r="Q70" i="10"/>
  <c r="P70" i="10"/>
  <c r="Q37" i="10"/>
  <c r="P37" i="10"/>
  <c r="Q32" i="10"/>
  <c r="P32" i="10"/>
  <c r="Q36" i="10"/>
  <c r="P36" i="10"/>
  <c r="Q31" i="10"/>
  <c r="P31" i="10"/>
  <c r="Q53" i="10"/>
  <c r="P53" i="10"/>
  <c r="Q68" i="10"/>
  <c r="P68" i="10"/>
  <c r="Q56" i="10"/>
  <c r="P56" i="10"/>
  <c r="Q24" i="10"/>
  <c r="P24" i="10"/>
  <c r="Q20" i="10"/>
  <c r="P20" i="10"/>
  <c r="Q64" i="10"/>
  <c r="P64" i="10"/>
  <c r="N19" i="10"/>
  <c r="AF19" i="10"/>
  <c r="AG14" i="10" s="1"/>
  <c r="AE19" i="10"/>
  <c r="Q8" i="10"/>
  <c r="P8" i="10"/>
  <c r="Q30" i="10"/>
  <c r="P30" i="10"/>
  <c r="Q54" i="10"/>
  <c r="P54" i="10"/>
  <c r="Q66" i="10"/>
  <c r="P66" i="10"/>
  <c r="Q33" i="10"/>
  <c r="P33" i="10"/>
  <c r="Q35" i="10"/>
  <c r="P35" i="10"/>
  <c r="Q15" i="10"/>
  <c r="P15" i="10"/>
  <c r="Q38" i="10"/>
  <c r="P38" i="10"/>
  <c r="N66" i="8"/>
  <c r="AF66" i="8"/>
  <c r="AE66" i="8"/>
  <c r="N48" i="8"/>
  <c r="AF48" i="8"/>
  <c r="AE48" i="8"/>
  <c r="N64" i="8"/>
  <c r="AF64" i="8"/>
  <c r="AE64" i="8"/>
  <c r="AF37" i="8"/>
  <c r="AE37" i="8"/>
  <c r="N37" i="8"/>
  <c r="AF39" i="8"/>
  <c r="AE39" i="8"/>
  <c r="N39" i="8"/>
  <c r="AF41" i="8"/>
  <c r="AE41" i="8"/>
  <c r="N41" i="8"/>
  <c r="AF12" i="8"/>
  <c r="AE12" i="8"/>
  <c r="N12" i="8"/>
  <c r="N17" i="8"/>
  <c r="AF17" i="8"/>
  <c r="AE17" i="8"/>
  <c r="Q22" i="8"/>
  <c r="P22" i="8"/>
  <c r="F2" i="8"/>
  <c r="I3" i="7"/>
  <c r="N44" i="8"/>
  <c r="M51" i="8"/>
  <c r="AF44" i="8"/>
  <c r="AE44" i="8"/>
  <c r="N46" i="8"/>
  <c r="AF46" i="8"/>
  <c r="AE46" i="8"/>
  <c r="N50" i="8"/>
  <c r="AF50" i="8"/>
  <c r="AE50" i="8"/>
  <c r="N15" i="8"/>
  <c r="AF15" i="8"/>
  <c r="AE15" i="8"/>
  <c r="Q49" i="8"/>
  <c r="P49" i="8"/>
  <c r="N62" i="8"/>
  <c r="AF62" i="8"/>
  <c r="M67" i="8"/>
  <c r="AE62" i="8"/>
  <c r="AF10" i="8"/>
  <c r="AG5" i="8" s="1"/>
  <c r="AE10" i="8"/>
  <c r="N10" i="8"/>
  <c r="Q24" i="8"/>
  <c r="P24" i="8"/>
  <c r="N65" i="8"/>
  <c r="AF65" i="8"/>
  <c r="AE65" i="8"/>
  <c r="N14" i="8"/>
  <c r="M19" i="8"/>
  <c r="AF14" i="8"/>
  <c r="AE14" i="8"/>
  <c r="N21" i="8"/>
  <c r="AF21" i="8"/>
  <c r="AE21" i="8"/>
  <c r="N61" i="8"/>
  <c r="AF59" i="8"/>
  <c r="AE59" i="8"/>
  <c r="N59" i="8"/>
  <c r="N20" i="8"/>
  <c r="M26" i="8"/>
  <c r="AF20" i="8"/>
  <c r="AE20" i="8"/>
  <c r="N40" i="8"/>
  <c r="AF40" i="8"/>
  <c r="AE40" i="8"/>
  <c r="N42" i="8"/>
  <c r="AF42" i="8"/>
  <c r="AE42" i="8"/>
  <c r="AF58" i="8"/>
  <c r="AE58" i="8"/>
  <c r="N58" i="8"/>
  <c r="AF60" i="8"/>
  <c r="AE60" i="8"/>
  <c r="N60" i="8"/>
  <c r="M43" i="8"/>
  <c r="AF36" i="8"/>
  <c r="AE36" i="8"/>
  <c r="N36" i="8"/>
  <c r="AF38" i="8"/>
  <c r="AE38" i="8"/>
  <c r="N38" i="8"/>
  <c r="N45" i="8"/>
  <c r="AF45" i="8"/>
  <c r="AE45" i="8"/>
  <c r="N47" i="8"/>
  <c r="AF47" i="8"/>
  <c r="AE47" i="8"/>
  <c r="M13" i="8"/>
  <c r="AF11" i="8"/>
  <c r="AE11" i="8"/>
  <c r="N11" i="8"/>
  <c r="N16" i="8"/>
  <c r="AF16" i="8"/>
  <c r="AE16" i="8"/>
  <c r="N18" i="8"/>
  <c r="AF18" i="8"/>
  <c r="AE18" i="8"/>
  <c r="N63" i="8"/>
  <c r="AF63" i="8"/>
  <c r="AE63" i="8"/>
  <c r="AE5" i="8"/>
  <c r="AF7" i="8"/>
  <c r="AE27" i="8"/>
  <c r="AF29" i="8"/>
  <c r="AE52" i="8"/>
  <c r="AF54" i="8"/>
  <c r="AF70" i="8"/>
  <c r="AF72" i="8"/>
  <c r="AE22" i="8"/>
  <c r="AE24" i="8"/>
  <c r="F6" i="7"/>
  <c r="G6" i="7"/>
  <c r="AF24" i="8"/>
  <c r="M73" i="8"/>
  <c r="N9" i="8"/>
  <c r="N31" i="8"/>
  <c r="N33" i="8"/>
  <c r="AE49" i="8"/>
  <c r="N56" i="8"/>
  <c r="N7" i="8"/>
  <c r="N29" i="8"/>
  <c r="N54" i="8"/>
  <c r="N70" i="8"/>
  <c r="N72" i="8"/>
  <c r="P8" i="8"/>
  <c r="P27" i="8"/>
  <c r="P55" i="8"/>
  <c r="P71" i="8"/>
  <c r="P5" i="8"/>
  <c r="P6" i="8"/>
  <c r="P25" i="8"/>
  <c r="AE34" i="8"/>
  <c r="P52" i="8"/>
  <c r="P53" i="8"/>
  <c r="AE57" i="8"/>
  <c r="P68" i="8"/>
  <c r="P69" i="8"/>
  <c r="AE9" i="8"/>
  <c r="AE31" i="8"/>
  <c r="AE33" i="8"/>
  <c r="AE56" i="8"/>
  <c r="AE8" i="8"/>
  <c r="AE30" i="8"/>
  <c r="AE32" i="8"/>
  <c r="AE55" i="8"/>
  <c r="AD75" i="4"/>
  <c r="Z75" i="4"/>
  <c r="Y75" i="4"/>
  <c r="O75" i="4"/>
  <c r="K75" i="4"/>
  <c r="V74" i="4"/>
  <c r="M74" i="4" s="1"/>
  <c r="U74" i="4"/>
  <c r="O74" i="4"/>
  <c r="K74" i="4"/>
  <c r="G74" i="4"/>
  <c r="X73" i="4"/>
  <c r="W73" i="4"/>
  <c r="V73" i="4"/>
  <c r="M73" i="4" s="1"/>
  <c r="U73" i="4"/>
  <c r="O73" i="4"/>
  <c r="K73" i="4"/>
  <c r="G73" i="4"/>
  <c r="V72" i="4"/>
  <c r="M72" i="4" s="1"/>
  <c r="U72" i="4"/>
  <c r="O72" i="4"/>
  <c r="K72" i="4"/>
  <c r="G72" i="4"/>
  <c r="V71" i="4"/>
  <c r="M71" i="4" s="1"/>
  <c r="U71" i="4"/>
  <c r="O71" i="4"/>
  <c r="K71" i="4"/>
  <c r="G71" i="4"/>
  <c r="V70" i="4"/>
  <c r="M70" i="4" s="1"/>
  <c r="U70" i="4"/>
  <c r="O70" i="4"/>
  <c r="K70" i="4"/>
  <c r="G70" i="4"/>
  <c r="X69" i="4"/>
  <c r="W69" i="4"/>
  <c r="V69" i="4"/>
  <c r="M69" i="4" s="1"/>
  <c r="O69" i="4"/>
  <c r="K69" i="4"/>
  <c r="G69" i="4"/>
  <c r="AD68" i="4"/>
  <c r="Z68" i="4"/>
  <c r="Y68" i="4"/>
  <c r="O68" i="4"/>
  <c r="K68" i="4"/>
  <c r="J13" i="3" s="1"/>
  <c r="V67" i="4"/>
  <c r="M67" i="4" s="1"/>
  <c r="U67" i="4"/>
  <c r="O67" i="4"/>
  <c r="K67" i="4"/>
  <c r="G67" i="4"/>
  <c r="V66" i="4"/>
  <c r="M66" i="4" s="1"/>
  <c r="U66" i="4"/>
  <c r="O66" i="4"/>
  <c r="K66" i="4"/>
  <c r="G66" i="4"/>
  <c r="V65" i="4"/>
  <c r="M65" i="4" s="1"/>
  <c r="U65" i="4"/>
  <c r="O65" i="4"/>
  <c r="K65" i="4"/>
  <c r="G65" i="4"/>
  <c r="V64" i="4"/>
  <c r="M64" i="4" s="1"/>
  <c r="U64" i="4"/>
  <c r="O64" i="4"/>
  <c r="K64" i="4"/>
  <c r="G64" i="4"/>
  <c r="V63" i="4"/>
  <c r="M63" i="4" s="1"/>
  <c r="U63" i="4"/>
  <c r="O63" i="4"/>
  <c r="K63" i="4"/>
  <c r="G63" i="4"/>
  <c r="V62" i="4"/>
  <c r="M62" i="4" s="1"/>
  <c r="O62" i="4"/>
  <c r="K62" i="4"/>
  <c r="G62" i="4"/>
  <c r="AD61" i="4"/>
  <c r="Z61" i="4"/>
  <c r="Y61" i="4"/>
  <c r="I18" i="3" s="1"/>
  <c r="O61" i="4"/>
  <c r="K61" i="4"/>
  <c r="V60" i="4"/>
  <c r="M60" i="4" s="1"/>
  <c r="U60" i="4"/>
  <c r="O60" i="4"/>
  <c r="K60" i="4"/>
  <c r="G60" i="4"/>
  <c r="X59" i="4"/>
  <c r="W59" i="4"/>
  <c r="V59" i="4"/>
  <c r="U59" i="4"/>
  <c r="O59" i="4"/>
  <c r="M59" i="4"/>
  <c r="AF59" i="4" s="1"/>
  <c r="K59" i="4"/>
  <c r="G59" i="4"/>
  <c r="V58" i="4"/>
  <c r="U58" i="4"/>
  <c r="O58" i="4"/>
  <c r="M58" i="4"/>
  <c r="K58" i="4"/>
  <c r="G58" i="4"/>
  <c r="V57" i="4"/>
  <c r="M57" i="4" s="1"/>
  <c r="AE57" i="4" s="1"/>
  <c r="U57" i="4"/>
  <c r="O57" i="4"/>
  <c r="K57" i="4"/>
  <c r="G57" i="4"/>
  <c r="V56" i="4"/>
  <c r="M56" i="4" s="1"/>
  <c r="U56" i="4"/>
  <c r="O56" i="4"/>
  <c r="K56" i="4"/>
  <c r="G56" i="4"/>
  <c r="V55" i="4"/>
  <c r="M55" i="4" s="1"/>
  <c r="AF55" i="4" s="1"/>
  <c r="U55" i="4"/>
  <c r="O55" i="4"/>
  <c r="K55" i="4"/>
  <c r="G55" i="4"/>
  <c r="V54" i="4"/>
  <c r="M54" i="4" s="1"/>
  <c r="U54" i="4"/>
  <c r="O54" i="4"/>
  <c r="K54" i="4"/>
  <c r="G54" i="4"/>
  <c r="V53" i="4"/>
  <c r="M53" i="4" s="1"/>
  <c r="U53" i="4"/>
  <c r="O53" i="4"/>
  <c r="K53" i="4"/>
  <c r="G53" i="4"/>
  <c r="V52" i="4"/>
  <c r="M52" i="4" s="1"/>
  <c r="O52" i="4"/>
  <c r="K52" i="4"/>
  <c r="G52" i="4"/>
  <c r="AD51" i="4"/>
  <c r="H21" i="3" s="1"/>
  <c r="Z51" i="4"/>
  <c r="Y51" i="4"/>
  <c r="O51" i="4"/>
  <c r="K51" i="4"/>
  <c r="V50" i="4"/>
  <c r="U50" i="4"/>
  <c r="O50" i="4"/>
  <c r="M50" i="4"/>
  <c r="AF50" i="4" s="1"/>
  <c r="K50" i="4"/>
  <c r="G50" i="4"/>
  <c r="V49" i="4"/>
  <c r="M49" i="4" s="1"/>
  <c r="U49" i="4"/>
  <c r="O49" i="4"/>
  <c r="K49" i="4"/>
  <c r="G49" i="4"/>
  <c r="X48" i="4"/>
  <c r="W48" i="4"/>
  <c r="V48" i="4"/>
  <c r="U48" i="4"/>
  <c r="O48" i="4"/>
  <c r="M48" i="4"/>
  <c r="AF48" i="4" s="1"/>
  <c r="K48" i="4"/>
  <c r="G48" i="4"/>
  <c r="V47" i="4"/>
  <c r="M47" i="4" s="1"/>
  <c r="U47" i="4"/>
  <c r="O47" i="4"/>
  <c r="K47" i="4"/>
  <c r="G47" i="4"/>
  <c r="V46" i="4"/>
  <c r="M46" i="4" s="1"/>
  <c r="U46" i="4"/>
  <c r="O46" i="4"/>
  <c r="K46" i="4"/>
  <c r="G46" i="4"/>
  <c r="V45" i="4"/>
  <c r="M45" i="4" s="1"/>
  <c r="U45" i="4"/>
  <c r="O45" i="4"/>
  <c r="K45" i="4"/>
  <c r="G45" i="4"/>
  <c r="V44" i="4"/>
  <c r="M44" i="4" s="1"/>
  <c r="O44" i="4"/>
  <c r="K44" i="4"/>
  <c r="G44" i="4"/>
  <c r="AD43" i="4"/>
  <c r="Z43" i="4"/>
  <c r="L19" i="3" s="1"/>
  <c r="Y43" i="4"/>
  <c r="O43" i="4"/>
  <c r="K43" i="4"/>
  <c r="V42" i="4"/>
  <c r="U42" i="4"/>
  <c r="O42" i="4"/>
  <c r="M42" i="4"/>
  <c r="K42" i="4"/>
  <c r="G42" i="4"/>
  <c r="V41" i="4"/>
  <c r="M41" i="4" s="1"/>
  <c r="AE41" i="4" s="1"/>
  <c r="U41" i="4"/>
  <c r="O41" i="4"/>
  <c r="K41" i="4"/>
  <c r="G41" i="4"/>
  <c r="V40" i="4"/>
  <c r="M40" i="4" s="1"/>
  <c r="U40" i="4"/>
  <c r="O40" i="4"/>
  <c r="K40" i="4"/>
  <c r="G40" i="4"/>
  <c r="X39" i="4"/>
  <c r="W39" i="4"/>
  <c r="V39" i="4"/>
  <c r="M39" i="4" s="1"/>
  <c r="AF39" i="4" s="1"/>
  <c r="U39" i="4"/>
  <c r="O39" i="4"/>
  <c r="K39" i="4"/>
  <c r="G39" i="4"/>
  <c r="V38" i="4"/>
  <c r="U38" i="4"/>
  <c r="O38" i="4"/>
  <c r="M38" i="4"/>
  <c r="AF38" i="4" s="1"/>
  <c r="K38" i="4"/>
  <c r="G38" i="4"/>
  <c r="V37" i="4"/>
  <c r="M37" i="4" s="1"/>
  <c r="AF37" i="4" s="1"/>
  <c r="U37" i="4"/>
  <c r="O37" i="4"/>
  <c r="K37" i="4"/>
  <c r="G37" i="4"/>
  <c r="V36" i="4"/>
  <c r="M36" i="4" s="1"/>
  <c r="U36" i="4"/>
  <c r="O36" i="4"/>
  <c r="K36" i="4"/>
  <c r="G36" i="4"/>
  <c r="X35" i="4"/>
  <c r="W35" i="4"/>
  <c r="V35" i="4"/>
  <c r="O35" i="4"/>
  <c r="M35" i="4"/>
  <c r="AE35" i="4" s="1"/>
  <c r="K35" i="4"/>
  <c r="G35" i="4"/>
  <c r="AD34" i="4"/>
  <c r="Z34" i="4"/>
  <c r="Y34" i="4"/>
  <c r="K18" i="3" s="1"/>
  <c r="O34" i="4"/>
  <c r="K34" i="4"/>
  <c r="V33" i="4"/>
  <c r="U33" i="4"/>
  <c r="O33" i="4"/>
  <c r="M33" i="4"/>
  <c r="AE33" i="4" s="1"/>
  <c r="K33" i="4"/>
  <c r="G33" i="4"/>
  <c r="AF32" i="4"/>
  <c r="V32" i="4"/>
  <c r="U32" i="4"/>
  <c r="O32" i="4"/>
  <c r="N32" i="4"/>
  <c r="P32" i="4" s="1"/>
  <c r="M32" i="4"/>
  <c r="AE32" i="4" s="1"/>
  <c r="K32" i="4"/>
  <c r="G32" i="4"/>
  <c r="X31" i="4"/>
  <c r="W31" i="4"/>
  <c r="V31" i="4"/>
  <c r="U31" i="4"/>
  <c r="O31" i="4"/>
  <c r="M31" i="4"/>
  <c r="N31" i="4" s="1"/>
  <c r="K31" i="4"/>
  <c r="G31" i="4"/>
  <c r="AE30" i="4"/>
  <c r="V30" i="4"/>
  <c r="U30" i="4"/>
  <c r="O30" i="4"/>
  <c r="N30" i="4"/>
  <c r="Q30" i="4" s="1"/>
  <c r="M30" i="4"/>
  <c r="AF30" i="4" s="1"/>
  <c r="K30" i="4"/>
  <c r="G30" i="4"/>
  <c r="V29" i="4"/>
  <c r="M29" i="4" s="1"/>
  <c r="U29" i="4"/>
  <c r="O29" i="4"/>
  <c r="K29" i="4"/>
  <c r="G29" i="4"/>
  <c r="V28" i="4"/>
  <c r="M28" i="4" s="1"/>
  <c r="U28" i="4"/>
  <c r="O28" i="4"/>
  <c r="K28" i="4"/>
  <c r="G28" i="4"/>
  <c r="X27" i="4"/>
  <c r="W27" i="4"/>
  <c r="V27" i="4"/>
  <c r="M27" i="4" s="1"/>
  <c r="O27" i="4"/>
  <c r="K27" i="4"/>
  <c r="G27" i="4"/>
  <c r="AD26" i="4"/>
  <c r="Z26" i="4"/>
  <c r="Y26" i="4"/>
  <c r="O26" i="4"/>
  <c r="K26" i="4"/>
  <c r="V25" i="4"/>
  <c r="M25" i="4" s="1"/>
  <c r="U25" i="4"/>
  <c r="O25" i="4"/>
  <c r="K25" i="4"/>
  <c r="G25" i="4"/>
  <c r="X24" i="4"/>
  <c r="W24" i="4"/>
  <c r="V24" i="4"/>
  <c r="M24" i="4" s="1"/>
  <c r="U24" i="4"/>
  <c r="O24" i="4"/>
  <c r="K24" i="4"/>
  <c r="G24" i="4"/>
  <c r="V23" i="4"/>
  <c r="M23" i="4" s="1"/>
  <c r="U23" i="4"/>
  <c r="O23" i="4"/>
  <c r="K23" i="4"/>
  <c r="G23" i="4"/>
  <c r="V22" i="4"/>
  <c r="M22" i="4" s="1"/>
  <c r="U22" i="4"/>
  <c r="O22" i="4"/>
  <c r="K22" i="4"/>
  <c r="G22" i="4"/>
  <c r="V21" i="4"/>
  <c r="M21" i="4" s="1"/>
  <c r="U21" i="4"/>
  <c r="O21" i="4"/>
  <c r="K21" i="4"/>
  <c r="G21" i="4"/>
  <c r="V20" i="4"/>
  <c r="M20" i="4" s="1"/>
  <c r="O20" i="4"/>
  <c r="K20" i="4"/>
  <c r="G20" i="4"/>
  <c r="AD19" i="4"/>
  <c r="Z19" i="4"/>
  <c r="F19" i="3" s="1"/>
  <c r="Y19" i="4"/>
  <c r="O19" i="4"/>
  <c r="K19" i="4"/>
  <c r="V18" i="4"/>
  <c r="M18" i="4" s="1"/>
  <c r="U18" i="4"/>
  <c r="O18" i="4"/>
  <c r="K18" i="4"/>
  <c r="G18" i="4"/>
  <c r="X17" i="4"/>
  <c r="W17" i="4"/>
  <c r="V17" i="4"/>
  <c r="M17" i="4" s="1"/>
  <c r="U17" i="4"/>
  <c r="O17" i="4"/>
  <c r="K17" i="4"/>
  <c r="G17" i="4"/>
  <c r="V16" i="4"/>
  <c r="U16" i="4"/>
  <c r="O16" i="4"/>
  <c r="M16" i="4"/>
  <c r="AF16" i="4" s="1"/>
  <c r="K16" i="4"/>
  <c r="G16" i="4"/>
  <c r="V15" i="4"/>
  <c r="M15" i="4" s="1"/>
  <c r="U15" i="4"/>
  <c r="O15" i="4"/>
  <c r="K15" i="4"/>
  <c r="G15" i="4"/>
  <c r="V14" i="4"/>
  <c r="M14" i="4" s="1"/>
  <c r="O14" i="4"/>
  <c r="K14" i="4"/>
  <c r="G14" i="4"/>
  <c r="AD13" i="4"/>
  <c r="Z13" i="4"/>
  <c r="E19" i="3" s="1"/>
  <c r="Y13" i="4"/>
  <c r="O13" i="4"/>
  <c r="K13" i="4"/>
  <c r="V12" i="4"/>
  <c r="U12" i="4"/>
  <c r="O12" i="4"/>
  <c r="M12" i="4"/>
  <c r="AF12" i="4" s="1"/>
  <c r="K12" i="4"/>
  <c r="G12" i="4"/>
  <c r="V11" i="4"/>
  <c r="O11" i="4"/>
  <c r="N11" i="4"/>
  <c r="Q11" i="4" s="1"/>
  <c r="M11" i="4"/>
  <c r="AF11" i="4" s="1"/>
  <c r="K11" i="4"/>
  <c r="G11" i="4"/>
  <c r="AD10" i="4"/>
  <c r="D21" i="3" s="1"/>
  <c r="Z10" i="4"/>
  <c r="Y10" i="4"/>
  <c r="Y2" i="4" s="1"/>
  <c r="K6" i="3" s="1"/>
  <c r="O10" i="4"/>
  <c r="K10" i="4"/>
  <c r="V9" i="4"/>
  <c r="U9" i="4"/>
  <c r="O9" i="4"/>
  <c r="M9" i="4"/>
  <c r="AE9" i="4" s="1"/>
  <c r="K9" i="4"/>
  <c r="G9" i="4"/>
  <c r="AF8" i="4"/>
  <c r="AE8" i="4"/>
  <c r="V8" i="4"/>
  <c r="U8" i="4"/>
  <c r="O8" i="4"/>
  <c r="N8" i="4"/>
  <c r="P8" i="4" s="1"/>
  <c r="M8" i="4"/>
  <c r="K8" i="4"/>
  <c r="G8" i="4"/>
  <c r="V7" i="4"/>
  <c r="M7" i="4" s="1"/>
  <c r="AE7" i="4" s="1"/>
  <c r="U7" i="4"/>
  <c r="O7" i="4"/>
  <c r="K7" i="4"/>
  <c r="G7" i="4"/>
  <c r="V6" i="4"/>
  <c r="M6" i="4" s="1"/>
  <c r="U6" i="4"/>
  <c r="O6" i="4"/>
  <c r="K6" i="4"/>
  <c r="G6" i="4"/>
  <c r="AF5" i="4"/>
  <c r="AE5" i="4"/>
  <c r="V5" i="4"/>
  <c r="O5" i="4"/>
  <c r="N5" i="4"/>
  <c r="M5" i="4"/>
  <c r="K5" i="4"/>
  <c r="G5" i="4"/>
  <c r="AC2" i="4"/>
  <c r="M6" i="3" s="1"/>
  <c r="H2" i="4"/>
  <c r="H1" i="4"/>
  <c r="D1" i="4"/>
  <c r="F3" i="3" s="1"/>
  <c r="M22" i="3"/>
  <c r="L22" i="3"/>
  <c r="K22" i="3"/>
  <c r="J22" i="3"/>
  <c r="I22" i="3"/>
  <c r="H22" i="3"/>
  <c r="G22" i="3"/>
  <c r="F22" i="3"/>
  <c r="E22" i="3"/>
  <c r="D22" i="3"/>
  <c r="M21" i="3"/>
  <c r="L21" i="3"/>
  <c r="K21" i="3"/>
  <c r="J21" i="3"/>
  <c r="I21" i="3"/>
  <c r="F21" i="3"/>
  <c r="E21" i="3"/>
  <c r="M20" i="3"/>
  <c r="L20" i="3"/>
  <c r="K20" i="3"/>
  <c r="J20" i="3"/>
  <c r="I20" i="3"/>
  <c r="H20" i="3"/>
  <c r="G20" i="3"/>
  <c r="F20" i="3"/>
  <c r="E20" i="3"/>
  <c r="D20" i="3"/>
  <c r="M19" i="3"/>
  <c r="K19" i="3"/>
  <c r="J19" i="3"/>
  <c r="I19" i="3"/>
  <c r="H19" i="3"/>
  <c r="G19" i="3"/>
  <c r="D19" i="3"/>
  <c r="M18" i="3"/>
  <c r="L18" i="3"/>
  <c r="J18" i="3"/>
  <c r="H18" i="3"/>
  <c r="G18" i="3"/>
  <c r="F18" i="3"/>
  <c r="E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3" i="3"/>
  <c r="L13" i="3"/>
  <c r="K13" i="3"/>
  <c r="I13" i="3"/>
  <c r="H13" i="3"/>
  <c r="G13" i="3"/>
  <c r="F13" i="3"/>
  <c r="E13" i="3"/>
  <c r="D13" i="3"/>
  <c r="F6" i="3"/>
  <c r="C3" i="3"/>
  <c r="N73" i="4" l="1"/>
  <c r="AF73" i="4"/>
  <c r="AE73" i="4"/>
  <c r="AF18" i="4"/>
  <c r="AE18" i="4"/>
  <c r="N18" i="4"/>
  <c r="AE54" i="4"/>
  <c r="AF54" i="4"/>
  <c r="AF66" i="4"/>
  <c r="AE66" i="4"/>
  <c r="N66" i="4"/>
  <c r="Q66" i="4" s="1"/>
  <c r="AF23" i="4"/>
  <c r="AE23" i="4"/>
  <c r="N23" i="4"/>
  <c r="Q23" i="4" s="1"/>
  <c r="AE36" i="4"/>
  <c r="AF36" i="4"/>
  <c r="AF27" i="4"/>
  <c r="AE27" i="4"/>
  <c r="N27" i="4"/>
  <c r="Q27" i="4" s="1"/>
  <c r="AF74" i="4"/>
  <c r="AE74" i="4"/>
  <c r="N74" i="4"/>
  <c r="P74" i="4" s="1"/>
  <c r="AF40" i="4"/>
  <c r="N40" i="4"/>
  <c r="Q40" i="4" s="1"/>
  <c r="N63" i="4"/>
  <c r="AF63" i="4"/>
  <c r="AE63" i="4"/>
  <c r="N62" i="4"/>
  <c r="AF62" i="4"/>
  <c r="AE62" i="4"/>
  <c r="AF71" i="4"/>
  <c r="AE71" i="4"/>
  <c r="N71" i="4"/>
  <c r="Q71" i="4" s="1"/>
  <c r="AF52" i="4"/>
  <c r="AE52" i="4"/>
  <c r="N52" i="4"/>
  <c r="Q52" i="4" s="1"/>
  <c r="AF56" i="4"/>
  <c r="N56" i="4"/>
  <c r="Q56" i="4" s="1"/>
  <c r="AF6" i="4"/>
  <c r="AE6" i="4"/>
  <c r="N6" i="4"/>
  <c r="Q6" i="4" s="1"/>
  <c r="AF28" i="4"/>
  <c r="AE28" i="4"/>
  <c r="N28" i="4"/>
  <c r="Q28" i="4" s="1"/>
  <c r="AF72" i="4"/>
  <c r="AE72" i="4"/>
  <c r="N72" i="4"/>
  <c r="P72" i="4" s="1"/>
  <c r="AE53" i="4"/>
  <c r="AF53" i="4"/>
  <c r="N53" i="4"/>
  <c r="P53" i="4" s="1"/>
  <c r="AF69" i="4"/>
  <c r="AE69" i="4"/>
  <c r="N69" i="4"/>
  <c r="P69" i="4" s="1"/>
  <c r="AF25" i="4"/>
  <c r="AE25" i="4"/>
  <c r="N25" i="4"/>
  <c r="Q25" i="4" s="1"/>
  <c r="P23" i="8"/>
  <c r="AE31" i="4"/>
  <c r="N50" i="4"/>
  <c r="Q50" i="4" s="1"/>
  <c r="D18" i="3"/>
  <c r="E6" i="3"/>
  <c r="N59" i="4"/>
  <c r="N12" i="4"/>
  <c r="Q12" i="4" s="1"/>
  <c r="AE50" i="4"/>
  <c r="P30" i="8"/>
  <c r="G6" i="3"/>
  <c r="I6" i="3"/>
  <c r="N35" i="4"/>
  <c r="Q35" i="4" s="1"/>
  <c r="N48" i="4"/>
  <c r="Q48" i="4" s="1"/>
  <c r="Q32" i="8"/>
  <c r="P32" i="8"/>
  <c r="N38" i="4"/>
  <c r="Q38" i="4" s="1"/>
  <c r="Q69" i="4"/>
  <c r="N16" i="4"/>
  <c r="AF9" i="4"/>
  <c r="M13" i="4"/>
  <c r="AE59" i="4"/>
  <c r="AF35" i="4"/>
  <c r="Q74" i="4"/>
  <c r="AE48" i="4"/>
  <c r="AE16" i="4"/>
  <c r="Q34" i="8"/>
  <c r="P34" i="8"/>
  <c r="Q5" i="4"/>
  <c r="N35" i="8"/>
  <c r="Q35" i="8" s="1"/>
  <c r="R27" i="8" s="1"/>
  <c r="AF33" i="4"/>
  <c r="AE61" i="8"/>
  <c r="AE35" i="8"/>
  <c r="P28" i="8"/>
  <c r="E8" i="13"/>
  <c r="F8" i="13"/>
  <c r="G8" i="13"/>
  <c r="D15" i="11"/>
  <c r="G7" i="11"/>
  <c r="F7" i="11"/>
  <c r="E7" i="11"/>
  <c r="K15" i="11"/>
  <c r="I8" i="11" s="1"/>
  <c r="I7" i="11"/>
  <c r="Q59" i="10"/>
  <c r="R50" i="10" s="1"/>
  <c r="P59" i="10"/>
  <c r="I14" i="9"/>
  <c r="I15" i="9" s="1"/>
  <c r="Q34" i="10"/>
  <c r="R27" i="10" s="1"/>
  <c r="P34" i="10"/>
  <c r="K14" i="9"/>
  <c r="Q65" i="10"/>
  <c r="R60" i="10" s="1"/>
  <c r="P65" i="10"/>
  <c r="J14" i="9"/>
  <c r="J15" i="9" s="1"/>
  <c r="Q26" i="10"/>
  <c r="R20" i="10" s="1"/>
  <c r="P26" i="10"/>
  <c r="G14" i="9"/>
  <c r="G15" i="9" s="1"/>
  <c r="Q42" i="10"/>
  <c r="R35" i="10" s="1"/>
  <c r="P42" i="10"/>
  <c r="L14" i="9"/>
  <c r="L15" i="9" s="1"/>
  <c r="D2" i="10"/>
  <c r="Q10" i="10"/>
  <c r="R5" i="10" s="1"/>
  <c r="D14" i="9"/>
  <c r="P10" i="10"/>
  <c r="F14" i="9"/>
  <c r="F15" i="9" s="1"/>
  <c r="Q19" i="10"/>
  <c r="R14" i="10" s="1"/>
  <c r="P19" i="10"/>
  <c r="Q58" i="8"/>
  <c r="P58" i="8"/>
  <c r="Q20" i="8"/>
  <c r="P20" i="8"/>
  <c r="N19" i="8"/>
  <c r="AF19" i="8"/>
  <c r="AG14" i="8" s="1"/>
  <c r="AE19" i="8"/>
  <c r="Q46" i="8"/>
  <c r="P46" i="8"/>
  <c r="Q37" i="8"/>
  <c r="P37" i="8"/>
  <c r="Q14" i="8"/>
  <c r="P14" i="8"/>
  <c r="Q62" i="8"/>
  <c r="P62" i="8"/>
  <c r="Q33" i="8"/>
  <c r="P33" i="8"/>
  <c r="Q38" i="8"/>
  <c r="P38" i="8"/>
  <c r="P17" i="8"/>
  <c r="Q17" i="8"/>
  <c r="Q31" i="8"/>
  <c r="P31" i="8"/>
  <c r="Q16" i="8"/>
  <c r="P16" i="8"/>
  <c r="N51" i="8"/>
  <c r="AF51" i="8"/>
  <c r="AG44" i="8" s="1"/>
  <c r="AE51" i="8"/>
  <c r="Q12" i="8"/>
  <c r="P12" i="8"/>
  <c r="Q18" i="8"/>
  <c r="P18" i="8"/>
  <c r="Q9" i="8"/>
  <c r="P9" i="8"/>
  <c r="Q11" i="8"/>
  <c r="P11" i="8"/>
  <c r="P65" i="8"/>
  <c r="Q65" i="8"/>
  <c r="P44" i="8"/>
  <c r="Q44" i="8"/>
  <c r="P45" i="8"/>
  <c r="Q45" i="8"/>
  <c r="AF73" i="8"/>
  <c r="AG68" i="8" s="1"/>
  <c r="AE73" i="8"/>
  <c r="N73" i="8"/>
  <c r="Q36" i="8"/>
  <c r="P36" i="8"/>
  <c r="Q42" i="8"/>
  <c r="P42" i="8"/>
  <c r="Q64" i="8"/>
  <c r="P64" i="8"/>
  <c r="Q59" i="8"/>
  <c r="P59" i="8"/>
  <c r="I14" i="7"/>
  <c r="I15" i="7" s="1"/>
  <c r="Q61" i="8"/>
  <c r="R52" i="8" s="1"/>
  <c r="P61" i="8"/>
  <c r="Q15" i="8"/>
  <c r="P15" i="8"/>
  <c r="Q41" i="8"/>
  <c r="P41" i="8"/>
  <c r="Q72" i="8"/>
  <c r="P72" i="8"/>
  <c r="N13" i="8"/>
  <c r="AF13" i="8"/>
  <c r="AG11" i="8" s="1"/>
  <c r="AE13" i="8"/>
  <c r="D14" i="7"/>
  <c r="Q10" i="8"/>
  <c r="R5" i="8" s="1"/>
  <c r="P10" i="8"/>
  <c r="K14" i="7"/>
  <c r="P35" i="8"/>
  <c r="Q70" i="8"/>
  <c r="P70" i="8"/>
  <c r="N43" i="8"/>
  <c r="AF43" i="8"/>
  <c r="AG36" i="8" s="1"/>
  <c r="AE43" i="8"/>
  <c r="Q40" i="8"/>
  <c r="P40" i="8"/>
  <c r="Q48" i="8"/>
  <c r="P48" i="8"/>
  <c r="Q56" i="8"/>
  <c r="P56" i="8"/>
  <c r="Q54" i="8"/>
  <c r="P54" i="8"/>
  <c r="Q63" i="8"/>
  <c r="P63" i="8"/>
  <c r="Q60" i="8"/>
  <c r="P60" i="8"/>
  <c r="Q21" i="8"/>
  <c r="P21" i="8"/>
  <c r="Q50" i="8"/>
  <c r="P50" i="8"/>
  <c r="Q39" i="8"/>
  <c r="P39" i="8"/>
  <c r="Q29" i="8"/>
  <c r="P29" i="8"/>
  <c r="P47" i="8"/>
  <c r="Q47" i="8"/>
  <c r="Q7" i="8"/>
  <c r="P7" i="8"/>
  <c r="AE26" i="8"/>
  <c r="N26" i="8"/>
  <c r="AF26" i="8"/>
  <c r="AG20" i="8" s="1"/>
  <c r="N67" i="8"/>
  <c r="AF67" i="8"/>
  <c r="AG62" i="8" s="1"/>
  <c r="AE67" i="8"/>
  <c r="Q66" i="8"/>
  <c r="P66" i="8"/>
  <c r="P63" i="4"/>
  <c r="Q63" i="4"/>
  <c r="N49" i="4"/>
  <c r="AE49" i="4"/>
  <c r="AF49" i="4"/>
  <c r="AF58" i="4"/>
  <c r="AE58" i="4"/>
  <c r="N58" i="4"/>
  <c r="N64" i="4"/>
  <c r="AF64" i="4"/>
  <c r="M68" i="4"/>
  <c r="AE64" i="4"/>
  <c r="Q73" i="4"/>
  <c r="P73" i="4"/>
  <c r="N46" i="4"/>
  <c r="AF46" i="4"/>
  <c r="AE46" i="4"/>
  <c r="N17" i="4"/>
  <c r="AF17" i="4"/>
  <c r="AE17" i="4"/>
  <c r="AE24" i="4"/>
  <c r="N24" i="4"/>
  <c r="AF24" i="4"/>
  <c r="AF42" i="4"/>
  <c r="AE42" i="4"/>
  <c r="N42" i="4"/>
  <c r="N44" i="4"/>
  <c r="AF44" i="4"/>
  <c r="M51" i="4"/>
  <c r="AE44" i="4"/>
  <c r="N70" i="4"/>
  <c r="AE70" i="4"/>
  <c r="M75" i="4"/>
  <c r="AF70" i="4"/>
  <c r="N20" i="4"/>
  <c r="M26" i="4"/>
  <c r="AF20" i="4"/>
  <c r="AE20" i="4"/>
  <c r="N22" i="4"/>
  <c r="AE22" i="4"/>
  <c r="AF22" i="4"/>
  <c r="P62" i="4"/>
  <c r="Q62" i="4"/>
  <c r="N65" i="4"/>
  <c r="AE65" i="4"/>
  <c r="AF65" i="4"/>
  <c r="F1" i="4"/>
  <c r="AF14" i="4"/>
  <c r="M19" i="4"/>
  <c r="AE14" i="4"/>
  <c r="N14" i="4"/>
  <c r="Q16" i="4"/>
  <c r="P16" i="4"/>
  <c r="AF60" i="4"/>
  <c r="AE60" i="4"/>
  <c r="N60" i="4"/>
  <c r="AF13" i="4"/>
  <c r="AG11" i="4" s="1"/>
  <c r="AE13" i="4"/>
  <c r="N13" i="4"/>
  <c r="N21" i="4"/>
  <c r="AF21" i="4"/>
  <c r="AE21" i="4"/>
  <c r="AD2" i="4"/>
  <c r="N6" i="3" s="1"/>
  <c r="G21" i="3"/>
  <c r="N29" i="4"/>
  <c r="AE29" i="4"/>
  <c r="M34" i="4"/>
  <c r="AF29" i="4"/>
  <c r="Q31" i="4"/>
  <c r="P31" i="4"/>
  <c r="Q59" i="4"/>
  <c r="P59" i="4"/>
  <c r="AF15" i="4"/>
  <c r="AE15" i="4"/>
  <c r="N15" i="4"/>
  <c r="N67" i="4"/>
  <c r="AE67" i="4"/>
  <c r="AF67" i="4"/>
  <c r="N45" i="4"/>
  <c r="AF45" i="4"/>
  <c r="AE45" i="4"/>
  <c r="N47" i="4"/>
  <c r="AE47" i="4"/>
  <c r="AF47" i="4"/>
  <c r="N7" i="4"/>
  <c r="M10" i="4"/>
  <c r="AF7" i="4"/>
  <c r="Q18" i="4"/>
  <c r="P18" i="4"/>
  <c r="Z2" i="4"/>
  <c r="L6" i="3" s="1"/>
  <c r="AF31" i="4"/>
  <c r="N39" i="4"/>
  <c r="N41" i="4"/>
  <c r="N57" i="4"/>
  <c r="N37" i="4"/>
  <c r="N55" i="4"/>
  <c r="N9" i="4"/>
  <c r="P11" i="4"/>
  <c r="P12" i="4"/>
  <c r="N33" i="4"/>
  <c r="P35" i="4"/>
  <c r="N36" i="4"/>
  <c r="P38" i="4"/>
  <c r="P40" i="4"/>
  <c r="N54" i="4"/>
  <c r="P56" i="4"/>
  <c r="P27" i="4"/>
  <c r="P30" i="4"/>
  <c r="P52" i="4"/>
  <c r="P71" i="4"/>
  <c r="Q8" i="4"/>
  <c r="AE11" i="4"/>
  <c r="AE12" i="4"/>
  <c r="Q32" i="4"/>
  <c r="AE38" i="4"/>
  <c r="AE40" i="4"/>
  <c r="AF41" i="4"/>
  <c r="Q53" i="4"/>
  <c r="AE56" i="4"/>
  <c r="AF57" i="4"/>
  <c r="P5" i="4"/>
  <c r="P6" i="4"/>
  <c r="P23" i="4"/>
  <c r="P25" i="4"/>
  <c r="P28" i="4"/>
  <c r="AE37" i="4"/>
  <c r="AE39" i="4"/>
  <c r="M43" i="4"/>
  <c r="P48" i="4"/>
  <c r="P50" i="4"/>
  <c r="AE55" i="4"/>
  <c r="M61" i="4"/>
  <c r="P66" i="4"/>
  <c r="M22" i="2"/>
  <c r="L22" i="2"/>
  <c r="K22" i="2"/>
  <c r="J22" i="2"/>
  <c r="I22" i="2"/>
  <c r="H22" i="2"/>
  <c r="G22" i="2"/>
  <c r="F22" i="2"/>
  <c r="E22" i="2"/>
  <c r="D22" i="2"/>
  <c r="M20" i="2"/>
  <c r="L20" i="2"/>
  <c r="K20" i="2"/>
  <c r="J20" i="2"/>
  <c r="I20" i="2"/>
  <c r="H20" i="2"/>
  <c r="G20" i="2"/>
  <c r="F20" i="2"/>
  <c r="E20" i="2"/>
  <c r="D20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M6" i="2"/>
  <c r="C3" i="2"/>
  <c r="Q72" i="4" l="1"/>
  <c r="G8" i="11"/>
  <c r="F8" i="11"/>
  <c r="E8" i="11"/>
  <c r="K15" i="9"/>
  <c r="I8" i="9" s="1"/>
  <c r="I7" i="9"/>
  <c r="D15" i="9"/>
  <c r="E7" i="9"/>
  <c r="G7" i="9"/>
  <c r="F7" i="9"/>
  <c r="Q73" i="8"/>
  <c r="R68" i="8" s="1"/>
  <c r="P73" i="8"/>
  <c r="M14" i="7"/>
  <c r="M15" i="7" s="1"/>
  <c r="K15" i="7"/>
  <c r="Q67" i="8"/>
  <c r="R62" i="8" s="1"/>
  <c r="P67" i="8"/>
  <c r="J14" i="7"/>
  <c r="J15" i="7" s="1"/>
  <c r="Q19" i="8"/>
  <c r="R14" i="8" s="1"/>
  <c r="P19" i="8"/>
  <c r="F14" i="7"/>
  <c r="F15" i="7" s="1"/>
  <c r="Q26" i="8"/>
  <c r="R20" i="8" s="1"/>
  <c r="P26" i="8"/>
  <c r="G14" i="7"/>
  <c r="G15" i="7" s="1"/>
  <c r="D15" i="7"/>
  <c r="P43" i="8"/>
  <c r="L14" i="7"/>
  <c r="L15" i="7" s="1"/>
  <c r="Q43" i="8"/>
  <c r="R36" i="8" s="1"/>
  <c r="E14" i="7"/>
  <c r="E15" i="7" s="1"/>
  <c r="Q13" i="8"/>
  <c r="R11" i="8" s="1"/>
  <c r="P13" i="8"/>
  <c r="Q51" i="8"/>
  <c r="R44" i="8" s="1"/>
  <c r="P51" i="8"/>
  <c r="H14" i="7"/>
  <c r="H15" i="7" s="1"/>
  <c r="D2" i="8"/>
  <c r="F2" i="4"/>
  <c r="I3" i="3"/>
  <c r="Q20" i="4"/>
  <c r="P20" i="4"/>
  <c r="P47" i="4"/>
  <c r="Q47" i="4"/>
  <c r="Q41" i="4"/>
  <c r="P41" i="4"/>
  <c r="AF75" i="4"/>
  <c r="AG69" i="4" s="1"/>
  <c r="AE75" i="4"/>
  <c r="N75" i="4"/>
  <c r="Q64" i="4"/>
  <c r="P64" i="4"/>
  <c r="P58" i="4"/>
  <c r="Q58" i="4"/>
  <c r="P45" i="4"/>
  <c r="Q45" i="4"/>
  <c r="Q29" i="4"/>
  <c r="P29" i="4"/>
  <c r="N51" i="4"/>
  <c r="AE51" i="4"/>
  <c r="AF51" i="4"/>
  <c r="AG44" i="4" s="1"/>
  <c r="Q33" i="4"/>
  <c r="P33" i="4"/>
  <c r="Q67" i="4"/>
  <c r="P67" i="4"/>
  <c r="N61" i="4"/>
  <c r="AF61" i="4"/>
  <c r="AG52" i="4" s="1"/>
  <c r="AE61" i="4"/>
  <c r="Q55" i="4"/>
  <c r="P55" i="4"/>
  <c r="Q21" i="4"/>
  <c r="P21" i="4"/>
  <c r="N26" i="4"/>
  <c r="AE26" i="4"/>
  <c r="AF26" i="4"/>
  <c r="AG20" i="4" s="1"/>
  <c r="Q37" i="4"/>
  <c r="P37" i="4"/>
  <c r="P13" i="4"/>
  <c r="E14" i="3"/>
  <c r="E15" i="3" s="1"/>
  <c r="Q13" i="4"/>
  <c r="R11" i="4" s="1"/>
  <c r="N68" i="4"/>
  <c r="AF68" i="4"/>
  <c r="AG62" i="4" s="1"/>
  <c r="AE68" i="4"/>
  <c r="Q57" i="4"/>
  <c r="P57" i="4"/>
  <c r="Q24" i="4"/>
  <c r="P24" i="4"/>
  <c r="Q54" i="4"/>
  <c r="P54" i="4"/>
  <c r="N43" i="4"/>
  <c r="AF43" i="4"/>
  <c r="AG35" i="4" s="1"/>
  <c r="AE43" i="4"/>
  <c r="Q39" i="4"/>
  <c r="P39" i="4"/>
  <c r="P60" i="4"/>
  <c r="Q60" i="4"/>
  <c r="P65" i="4"/>
  <c r="Q65" i="4"/>
  <c r="AF34" i="4"/>
  <c r="AG27" i="4" s="1"/>
  <c r="AE34" i="4"/>
  <c r="N34" i="4"/>
  <c r="Q70" i="4"/>
  <c r="P70" i="4"/>
  <c r="Q36" i="4"/>
  <c r="P36" i="4"/>
  <c r="P17" i="4"/>
  <c r="Q17" i="4"/>
  <c r="P15" i="4"/>
  <c r="Q15" i="4"/>
  <c r="P14" i="4"/>
  <c r="Q14" i="4"/>
  <c r="P22" i="4"/>
  <c r="Q22" i="4"/>
  <c r="P44" i="4"/>
  <c r="Q44" i="4"/>
  <c r="Q46" i="4"/>
  <c r="P46" i="4"/>
  <c r="P49" i="4"/>
  <c r="Q49" i="4"/>
  <c r="AF10" i="4"/>
  <c r="AG5" i="4" s="1"/>
  <c r="AE10" i="4"/>
  <c r="N10" i="4"/>
  <c r="P42" i="4"/>
  <c r="Q42" i="4"/>
  <c r="Q9" i="4"/>
  <c r="P9" i="4"/>
  <c r="Q7" i="4"/>
  <c r="P7" i="4"/>
  <c r="N19" i="4"/>
  <c r="AF19" i="4"/>
  <c r="AG14" i="4" s="1"/>
  <c r="AE19" i="4"/>
  <c r="F8" i="9" l="1"/>
  <c r="G8" i="9"/>
  <c r="E8" i="9"/>
  <c r="E8" i="7"/>
  <c r="G8" i="7"/>
  <c r="F8" i="7"/>
  <c r="E7" i="7"/>
  <c r="I7" i="7"/>
  <c r="F7" i="7"/>
  <c r="I8" i="7"/>
  <c r="G7" i="7"/>
  <c r="D2" i="4"/>
  <c r="Q10" i="4"/>
  <c r="R5" i="4" s="1"/>
  <c r="P10" i="4"/>
  <c r="D14" i="3"/>
  <c r="M14" i="3"/>
  <c r="M15" i="3" s="1"/>
  <c r="Q75" i="4"/>
  <c r="R69" i="4" s="1"/>
  <c r="P75" i="4"/>
  <c r="Q26" i="4"/>
  <c r="R20" i="4" s="1"/>
  <c r="P26" i="4"/>
  <c r="G14" i="3"/>
  <c r="G15" i="3" s="1"/>
  <c r="P51" i="4"/>
  <c r="Q51" i="4"/>
  <c r="R44" i="4" s="1"/>
  <c r="H14" i="3"/>
  <c r="H15" i="3" s="1"/>
  <c r="F14" i="3"/>
  <c r="F15" i="3" s="1"/>
  <c r="Q19" i="4"/>
  <c r="R14" i="4" s="1"/>
  <c r="P19" i="4"/>
  <c r="Q68" i="4"/>
  <c r="R62" i="4" s="1"/>
  <c r="J14" i="3"/>
  <c r="J15" i="3" s="1"/>
  <c r="P68" i="4"/>
  <c r="L14" i="3"/>
  <c r="L15" i="3" s="1"/>
  <c r="P43" i="4"/>
  <c r="Q43" i="4"/>
  <c r="R35" i="4" s="1"/>
  <c r="I14" i="3"/>
  <c r="I15" i="3" s="1"/>
  <c r="P61" i="4"/>
  <c r="Q61" i="4"/>
  <c r="R52" i="4" s="1"/>
  <c r="K14" i="3"/>
  <c r="Q34" i="4"/>
  <c r="R27" i="4" s="1"/>
  <c r="P34" i="4"/>
  <c r="X49" i="1"/>
  <c r="W49" i="1"/>
  <c r="X68" i="1"/>
  <c r="W68" i="1"/>
  <c r="X60" i="1"/>
  <c r="W60" i="1"/>
  <c r="X17" i="1"/>
  <c r="W17" i="1"/>
  <c r="AD78" i="1"/>
  <c r="M21" i="2" s="1"/>
  <c r="Z78" i="1"/>
  <c r="M19" i="2" s="1"/>
  <c r="Y78" i="1"/>
  <c r="M18" i="2" s="1"/>
  <c r="AD70" i="1"/>
  <c r="J21" i="2" s="1"/>
  <c r="Z70" i="1"/>
  <c r="J19" i="2" s="1"/>
  <c r="Y70" i="1"/>
  <c r="J18" i="2" s="1"/>
  <c r="AD62" i="1"/>
  <c r="I21" i="2" s="1"/>
  <c r="Z62" i="1"/>
  <c r="I19" i="2" s="1"/>
  <c r="Y62" i="1"/>
  <c r="I18" i="2" s="1"/>
  <c r="AD52" i="1"/>
  <c r="H21" i="2" s="1"/>
  <c r="Z52" i="1"/>
  <c r="H19" i="2" s="1"/>
  <c r="Y52" i="1"/>
  <c r="H18" i="2" s="1"/>
  <c r="AD44" i="1"/>
  <c r="L21" i="2" s="1"/>
  <c r="Z44" i="1"/>
  <c r="L19" i="2" s="1"/>
  <c r="Y44" i="1"/>
  <c r="L18" i="2" s="1"/>
  <c r="AD35" i="1"/>
  <c r="K21" i="2" s="1"/>
  <c r="Z35" i="1"/>
  <c r="K19" i="2" s="1"/>
  <c r="Y35" i="1"/>
  <c r="K18" i="2" s="1"/>
  <c r="AD26" i="1"/>
  <c r="G21" i="2" s="1"/>
  <c r="Z26" i="1"/>
  <c r="G19" i="2" s="1"/>
  <c r="Y26" i="1"/>
  <c r="G18" i="2" s="1"/>
  <c r="AD19" i="1"/>
  <c r="F21" i="2" s="1"/>
  <c r="Z19" i="1"/>
  <c r="F19" i="2" s="1"/>
  <c r="Y19" i="1"/>
  <c r="F18" i="2" s="1"/>
  <c r="AD13" i="1"/>
  <c r="E21" i="2" s="1"/>
  <c r="Z13" i="1"/>
  <c r="E19" i="2" s="1"/>
  <c r="Y13" i="1"/>
  <c r="E18" i="2" s="1"/>
  <c r="AD10" i="1"/>
  <c r="D21" i="2" s="1"/>
  <c r="Z10" i="1"/>
  <c r="D19" i="2" s="1"/>
  <c r="Y10" i="1"/>
  <c r="D18" i="2" s="1"/>
  <c r="D15" i="3" l="1"/>
  <c r="G7" i="3"/>
  <c r="F7" i="3"/>
  <c r="E7" i="3"/>
  <c r="I7" i="3"/>
  <c r="K15" i="3"/>
  <c r="I8" i="3" s="1"/>
  <c r="Z2" i="1"/>
  <c r="L6" i="2" s="1"/>
  <c r="Y2" i="1"/>
  <c r="K6" i="2" s="1"/>
  <c r="G21" i="1"/>
  <c r="O28" i="1"/>
  <c r="AD2" i="1"/>
  <c r="N6" i="2" s="1"/>
  <c r="U15" i="1"/>
  <c r="U22" i="1"/>
  <c r="U57" i="1"/>
  <c r="E8" i="3" l="1"/>
  <c r="G8" i="3"/>
  <c r="F8" i="3"/>
  <c r="G9" i="1"/>
  <c r="O73" i="1"/>
  <c r="O9" i="1"/>
  <c r="G60" i="1"/>
  <c r="G68" i="1"/>
  <c r="G56" i="1"/>
  <c r="O60" i="1"/>
  <c r="O68" i="1"/>
  <c r="G28" i="1"/>
  <c r="K28" i="1"/>
  <c r="O51" i="1"/>
  <c r="G59" i="1"/>
  <c r="O22" i="1"/>
  <c r="K56" i="1"/>
  <c r="G65" i="1"/>
  <c r="K8" i="1"/>
  <c r="O21" i="1"/>
  <c r="O65" i="1"/>
  <c r="G51" i="1"/>
  <c r="O8" i="1"/>
  <c r="O25" i="1"/>
  <c r="G25" i="1"/>
  <c r="G49" i="1"/>
  <c r="O49" i="1"/>
  <c r="G75" i="1"/>
  <c r="O75" i="1"/>
  <c r="G76" i="1"/>
  <c r="O76" i="1"/>
  <c r="G30" i="1"/>
  <c r="O30" i="1"/>
  <c r="G37" i="1"/>
  <c r="O37" i="1"/>
  <c r="O14" i="1"/>
  <c r="G14" i="1"/>
  <c r="G12" i="1"/>
  <c r="O12" i="1"/>
  <c r="O33" i="1"/>
  <c r="G33" i="1"/>
  <c r="G39" i="1"/>
  <c r="O39" i="1"/>
  <c r="O58" i="1"/>
  <c r="G58" i="1"/>
  <c r="G71" i="1"/>
  <c r="O74" i="1"/>
  <c r="G74" i="1"/>
  <c r="G55" i="1"/>
  <c r="O55" i="1"/>
  <c r="G32" i="1"/>
  <c r="O32" i="1"/>
  <c r="G31" i="1"/>
  <c r="O31" i="1"/>
  <c r="G11" i="1"/>
  <c r="G57" i="1"/>
  <c r="O57" i="1"/>
  <c r="O42" i="1"/>
  <c r="G42" i="1"/>
  <c r="O50" i="1"/>
  <c r="G50" i="1"/>
  <c r="O38" i="1"/>
  <c r="G38" i="1"/>
  <c r="O54" i="1"/>
  <c r="G54" i="1"/>
  <c r="G46" i="1"/>
  <c r="O46" i="1"/>
  <c r="O47" i="1"/>
  <c r="G47" i="1"/>
  <c r="O40" i="1"/>
  <c r="G40" i="1"/>
  <c r="G16" i="1"/>
  <c r="O16" i="1"/>
  <c r="G36" i="1"/>
  <c r="O64" i="1"/>
  <c r="G64" i="1"/>
  <c r="O20" i="1"/>
  <c r="G20" i="1"/>
  <c r="G72" i="1"/>
  <c r="O72" i="1"/>
  <c r="O56" i="1"/>
  <c r="O43" i="1"/>
  <c r="G43" i="1"/>
  <c r="O34" i="1"/>
  <c r="G34" i="1"/>
  <c r="O23" i="1"/>
  <c r="G23" i="1"/>
  <c r="O18" i="1"/>
  <c r="G18" i="1"/>
  <c r="G17" i="1"/>
  <c r="O17" i="1"/>
  <c r="G8" i="1"/>
  <c r="G6" i="1"/>
  <c r="O6" i="1"/>
  <c r="G45" i="1"/>
  <c r="G67" i="1"/>
  <c r="O67" i="1"/>
  <c r="G77" i="1"/>
  <c r="O77" i="1"/>
  <c r="O59" i="1"/>
  <c r="G22" i="1"/>
  <c r="O29" i="1"/>
  <c r="G29" i="1"/>
  <c r="G69" i="1"/>
  <c r="O69" i="1"/>
  <c r="O66" i="1"/>
  <c r="G66" i="1"/>
  <c r="G61" i="1"/>
  <c r="O61" i="1"/>
  <c r="K73" i="1"/>
  <c r="O15" i="1"/>
  <c r="G15" i="1"/>
  <c r="O48" i="1"/>
  <c r="G48" i="1"/>
  <c r="G63" i="1"/>
  <c r="G53" i="1"/>
  <c r="K59" i="1"/>
  <c r="G27" i="1"/>
  <c r="K51" i="1"/>
  <c r="G24" i="1"/>
  <c r="O24" i="1"/>
  <c r="O41" i="1"/>
  <c r="G41" i="1"/>
  <c r="O5" i="1"/>
  <c r="G5" i="1"/>
  <c r="O7" i="1"/>
  <c r="G7" i="1"/>
  <c r="G73" i="1"/>
  <c r="D1" i="1"/>
  <c r="F3" i="2" s="1"/>
  <c r="K9" i="1" l="1"/>
  <c r="K55" i="1"/>
  <c r="K29" i="1"/>
  <c r="K40" i="1"/>
  <c r="K34" i="1"/>
  <c r="K60" i="1"/>
  <c r="K25" i="1"/>
  <c r="K58" i="1"/>
  <c r="K68" i="1"/>
  <c r="K41" i="1"/>
  <c r="K22" i="1"/>
  <c r="K37" i="1"/>
  <c r="K23" i="1"/>
  <c r="O35" i="1"/>
  <c r="K49" i="1"/>
  <c r="K21" i="1"/>
  <c r="K54" i="1"/>
  <c r="K12" i="1"/>
  <c r="K65" i="1"/>
  <c r="K47" i="1"/>
  <c r="K18" i="1"/>
  <c r="O26" i="1"/>
  <c r="K24" i="1"/>
  <c r="K15" i="1"/>
  <c r="K6" i="1"/>
  <c r="K36" i="1"/>
  <c r="K11" i="1"/>
  <c r="K76" i="1"/>
  <c r="K7" i="1"/>
  <c r="K64" i="1"/>
  <c r="K20" i="1"/>
  <c r="O70" i="1"/>
  <c r="O63" i="1"/>
  <c r="O78" i="1"/>
  <c r="O71" i="1"/>
  <c r="F1" i="1"/>
  <c r="K16" i="1"/>
  <c r="K50" i="1"/>
  <c r="K32" i="1"/>
  <c r="K39" i="1"/>
  <c r="K5" i="1"/>
  <c r="K53" i="1"/>
  <c r="K61" i="1"/>
  <c r="K77" i="1"/>
  <c r="K72" i="1"/>
  <c r="O44" i="1"/>
  <c r="O36" i="1"/>
  <c r="K57" i="1"/>
  <c r="K31" i="1"/>
  <c r="K74" i="1"/>
  <c r="K30" i="1"/>
  <c r="K75" i="1"/>
  <c r="K48" i="1"/>
  <c r="K45" i="1"/>
  <c r="O13" i="1"/>
  <c r="O11" i="1"/>
  <c r="K14" i="1"/>
  <c r="O62" i="1"/>
  <c r="O53" i="1"/>
  <c r="K46" i="1"/>
  <c r="K27" i="1"/>
  <c r="O27" i="1"/>
  <c r="H1" i="1"/>
  <c r="O10" i="1"/>
  <c r="K66" i="1"/>
  <c r="K17" i="1"/>
  <c r="K69" i="1"/>
  <c r="K67" i="1"/>
  <c r="O52" i="1"/>
  <c r="O45" i="1"/>
  <c r="K43" i="1"/>
  <c r="K38" i="1"/>
  <c r="K42" i="1"/>
  <c r="K33" i="1"/>
  <c r="K63" i="1"/>
  <c r="K71" i="1"/>
  <c r="O19" i="1"/>
  <c r="F2" i="1" l="1"/>
  <c r="I3" i="2"/>
  <c r="K78" i="1"/>
  <c r="M13" i="2" s="1"/>
  <c r="K35" i="1"/>
  <c r="K13" i="2" s="1"/>
  <c r="K62" i="1"/>
  <c r="I13" i="2" s="1"/>
  <c r="K70" i="1"/>
  <c r="J13" i="2" s="1"/>
  <c r="K13" i="1"/>
  <c r="E13" i="2" s="1"/>
  <c r="K52" i="1"/>
  <c r="H13" i="2" s="1"/>
  <c r="K26" i="1"/>
  <c r="G13" i="2" s="1"/>
  <c r="K10" i="1"/>
  <c r="D13" i="2" s="1"/>
  <c r="K44" i="1"/>
  <c r="L13" i="2" s="1"/>
  <c r="K19" i="1"/>
  <c r="F13" i="2" s="1"/>
  <c r="E6" i="2" l="1"/>
  <c r="F6" i="2"/>
  <c r="G6" i="2"/>
  <c r="I6" i="2"/>
  <c r="W71" i="1"/>
  <c r="V71" i="1"/>
  <c r="M71" i="1" s="1"/>
  <c r="V36" i="1"/>
  <c r="M36" i="1" s="1"/>
  <c r="W36" i="1"/>
  <c r="V15" i="1"/>
  <c r="M15" i="1" s="1"/>
  <c r="V20" i="1"/>
  <c r="M20" i="1" s="1"/>
  <c r="AE20" i="1" l="1"/>
  <c r="N20" i="1"/>
  <c r="AF20" i="1"/>
  <c r="U16" i="1"/>
  <c r="W27" i="1"/>
  <c r="V27" i="1"/>
  <c r="M27" i="1" s="1"/>
  <c r="N36" i="1"/>
  <c r="AF36" i="1"/>
  <c r="AE36" i="1"/>
  <c r="N71" i="1"/>
  <c r="AF71" i="1"/>
  <c r="AE71" i="1"/>
  <c r="V45" i="1"/>
  <c r="M45" i="1" s="1"/>
  <c r="N15" i="1"/>
  <c r="AF15" i="1"/>
  <c r="AE15" i="1"/>
  <c r="U28" i="1"/>
  <c r="X27" i="1"/>
  <c r="V53" i="1"/>
  <c r="M53" i="1" s="1"/>
  <c r="V16" i="1"/>
  <c r="M16" i="1" s="1"/>
  <c r="V22" i="1"/>
  <c r="M22" i="1" s="1"/>
  <c r="V11" i="1"/>
  <c r="M11" i="1" s="1"/>
  <c r="V14" i="1"/>
  <c r="M14" i="1" s="1"/>
  <c r="V28" i="1"/>
  <c r="M28" i="1" s="1"/>
  <c r="V63" i="1"/>
  <c r="M63" i="1" s="1"/>
  <c r="U21" i="1"/>
  <c r="V5" i="1"/>
  <c r="M5" i="1" s="1"/>
  <c r="V46" i="1" l="1"/>
  <c r="M46" i="1" s="1"/>
  <c r="U64" i="1"/>
  <c r="U29" i="1"/>
  <c r="U12" i="1"/>
  <c r="N63" i="1"/>
  <c r="AF63" i="1"/>
  <c r="AE63" i="1"/>
  <c r="AE22" i="1"/>
  <c r="AF22" i="1"/>
  <c r="N22" i="1"/>
  <c r="U46" i="1"/>
  <c r="AE16" i="1"/>
  <c r="N16" i="1"/>
  <c r="AF16" i="1"/>
  <c r="AF5" i="1"/>
  <c r="AE5" i="1"/>
  <c r="N5" i="1"/>
  <c r="AE27" i="1"/>
  <c r="AF27" i="1"/>
  <c r="N27" i="1"/>
  <c r="AF46" i="1"/>
  <c r="AE46" i="1"/>
  <c r="N46" i="1"/>
  <c r="Q36" i="1"/>
  <c r="P36" i="1"/>
  <c r="Q15" i="1"/>
  <c r="P15" i="1"/>
  <c r="AE14" i="1"/>
  <c r="N14" i="1"/>
  <c r="AF14" i="1"/>
  <c r="AF53" i="1"/>
  <c r="AE53" i="1"/>
  <c r="N53" i="1"/>
  <c r="V12" i="1"/>
  <c r="M12" i="1" s="1"/>
  <c r="N45" i="1"/>
  <c r="AE45" i="1"/>
  <c r="AF45" i="1"/>
  <c r="Q20" i="1"/>
  <c r="P20" i="1"/>
  <c r="U23" i="1"/>
  <c r="X71" i="1"/>
  <c r="U72" i="1"/>
  <c r="AF28" i="1"/>
  <c r="AE28" i="1"/>
  <c r="N28" i="1"/>
  <c r="N11" i="1"/>
  <c r="AE11" i="1"/>
  <c r="AF11" i="1"/>
  <c r="U47" i="1"/>
  <c r="Q71" i="1"/>
  <c r="P71" i="1"/>
  <c r="U54" i="1"/>
  <c r="U17" i="1"/>
  <c r="V47" i="1"/>
  <c r="M47" i="1" s="1"/>
  <c r="V23" i="1"/>
  <c r="M23" i="1" s="1"/>
  <c r="U48" i="1"/>
  <c r="V21" i="1"/>
  <c r="M21" i="1" s="1"/>
  <c r="U6" i="1"/>
  <c r="V29" i="1"/>
  <c r="M29" i="1" s="1"/>
  <c r="V72" i="1"/>
  <c r="M72" i="1" s="1"/>
  <c r="Q53" i="1" l="1"/>
  <c r="P53" i="1"/>
  <c r="Q46" i="1"/>
  <c r="P46" i="1"/>
  <c r="P16" i="1"/>
  <c r="Q16" i="1"/>
  <c r="U24" i="1"/>
  <c r="Q27" i="1"/>
  <c r="P27" i="1"/>
  <c r="N12" i="1"/>
  <c r="AF12" i="1"/>
  <c r="AE12" i="1"/>
  <c r="AE21" i="1"/>
  <c r="N21" i="1"/>
  <c r="AF21" i="1"/>
  <c r="AF23" i="1"/>
  <c r="N23" i="1"/>
  <c r="AE23" i="1"/>
  <c r="AF47" i="1"/>
  <c r="AE47" i="1"/>
  <c r="N47" i="1"/>
  <c r="N72" i="1"/>
  <c r="AF72" i="1"/>
  <c r="AE72" i="1"/>
  <c r="V17" i="1"/>
  <c r="M17" i="1" s="1"/>
  <c r="Q22" i="1"/>
  <c r="P22" i="1"/>
  <c r="V48" i="1"/>
  <c r="M48" i="1" s="1"/>
  <c r="P14" i="1"/>
  <c r="Q14" i="1"/>
  <c r="AF29" i="1"/>
  <c r="AE29" i="1"/>
  <c r="N29" i="1"/>
  <c r="W24" i="1"/>
  <c r="V24" i="1"/>
  <c r="M24" i="1" s="1"/>
  <c r="Q5" i="1"/>
  <c r="P5" i="1"/>
  <c r="Q28" i="1"/>
  <c r="P28" i="1"/>
  <c r="Q11" i="1"/>
  <c r="P11" i="1"/>
  <c r="Q45" i="1"/>
  <c r="P45" i="1"/>
  <c r="U37" i="1"/>
  <c r="X36" i="1"/>
  <c r="M13" i="1"/>
  <c r="Q63" i="1"/>
  <c r="P63" i="1"/>
  <c r="V54" i="1"/>
  <c r="M54" i="1" s="1"/>
  <c r="U49" i="1"/>
  <c r="V64" i="1"/>
  <c r="M64" i="1" s="1"/>
  <c r="V37" i="1"/>
  <c r="M37" i="1" s="1"/>
  <c r="V6" i="1"/>
  <c r="M6" i="1" s="1"/>
  <c r="U73" i="1"/>
  <c r="U30" i="1"/>
  <c r="P29" i="1" l="1"/>
  <c r="Q29" i="1"/>
  <c r="P72" i="1"/>
  <c r="Q72" i="1"/>
  <c r="V49" i="1"/>
  <c r="M49" i="1" s="1"/>
  <c r="P23" i="1"/>
  <c r="Q23" i="1"/>
  <c r="N17" i="1"/>
  <c r="AF17" i="1"/>
  <c r="AE17" i="1"/>
  <c r="Q21" i="1"/>
  <c r="P21" i="1"/>
  <c r="AE24" i="1"/>
  <c r="N24" i="1"/>
  <c r="AF24" i="1"/>
  <c r="Q47" i="1"/>
  <c r="P47" i="1"/>
  <c r="Q12" i="1"/>
  <c r="P12" i="1"/>
  <c r="AF6" i="1"/>
  <c r="AE6" i="1"/>
  <c r="N6" i="1"/>
  <c r="AF54" i="1"/>
  <c r="AE54" i="1"/>
  <c r="N54" i="1"/>
  <c r="AF37" i="1"/>
  <c r="AE37" i="1"/>
  <c r="N37" i="1"/>
  <c r="N48" i="1"/>
  <c r="AE48" i="1"/>
  <c r="AF48" i="1"/>
  <c r="AF64" i="1"/>
  <c r="AE64" i="1"/>
  <c r="N64" i="1"/>
  <c r="V61" i="1"/>
  <c r="M61" i="1" s="1"/>
  <c r="N13" i="1"/>
  <c r="E14" i="2" s="1"/>
  <c r="E15" i="2" s="1"/>
  <c r="AE13" i="1"/>
  <c r="AF13" i="1"/>
  <c r="AG11" i="1" s="1"/>
  <c r="U55" i="1"/>
  <c r="V57" i="1"/>
  <c r="M57" i="1" s="1"/>
  <c r="U65" i="1"/>
  <c r="V30" i="1"/>
  <c r="M30" i="1" s="1"/>
  <c r="V73" i="1"/>
  <c r="M73" i="1" s="1"/>
  <c r="U7" i="1"/>
  <c r="U38" i="1"/>
  <c r="V25" i="1" l="1"/>
  <c r="M25" i="1" s="1"/>
  <c r="N25" i="1" s="1"/>
  <c r="N73" i="1"/>
  <c r="AF73" i="1"/>
  <c r="AE73" i="1"/>
  <c r="AF57" i="1"/>
  <c r="AE57" i="1"/>
  <c r="N57" i="1"/>
  <c r="AE30" i="1"/>
  <c r="AF30" i="1"/>
  <c r="N30" i="1"/>
  <c r="Q37" i="1"/>
  <c r="P37" i="1"/>
  <c r="P54" i="1"/>
  <c r="Q54" i="1"/>
  <c r="Q6" i="1"/>
  <c r="P6" i="1"/>
  <c r="Q13" i="1"/>
  <c r="R11" i="1" s="1"/>
  <c r="P13" i="1"/>
  <c r="N61" i="1"/>
  <c r="AF61" i="1"/>
  <c r="AE61" i="1"/>
  <c r="AF49" i="1"/>
  <c r="AE49" i="1"/>
  <c r="N49" i="1"/>
  <c r="U25" i="1"/>
  <c r="X24" i="1"/>
  <c r="Q64" i="1"/>
  <c r="P64" i="1"/>
  <c r="Q24" i="1"/>
  <c r="P24" i="1"/>
  <c r="P48" i="1"/>
  <c r="Q48" i="1"/>
  <c r="Q17" i="1"/>
  <c r="P17" i="1"/>
  <c r="U18" i="1"/>
  <c r="V55" i="1"/>
  <c r="M55" i="1" s="1"/>
  <c r="U58" i="1"/>
  <c r="V65" i="1"/>
  <c r="M65" i="1" s="1"/>
  <c r="U50" i="1"/>
  <c r="V38" i="1"/>
  <c r="M38" i="1" s="1"/>
  <c r="U31" i="1"/>
  <c r="U74" i="1"/>
  <c r="V7" i="1"/>
  <c r="M7" i="1" s="1"/>
  <c r="M26" i="1" l="1"/>
  <c r="AE26" i="1" s="1"/>
  <c r="AE25" i="1"/>
  <c r="AF25" i="1"/>
  <c r="AE55" i="1"/>
  <c r="N55" i="1"/>
  <c r="AF55" i="1"/>
  <c r="Q30" i="1"/>
  <c r="P30" i="1"/>
  <c r="Q61" i="1"/>
  <c r="P61" i="1"/>
  <c r="N38" i="1"/>
  <c r="AF38" i="1"/>
  <c r="AE38" i="1"/>
  <c r="Q25" i="1"/>
  <c r="P25" i="1"/>
  <c r="AF7" i="1"/>
  <c r="AE7" i="1"/>
  <c r="N7" i="1"/>
  <c r="Q57" i="1"/>
  <c r="P57" i="1"/>
  <c r="N65" i="1"/>
  <c r="AF65" i="1"/>
  <c r="AE65" i="1"/>
  <c r="Q49" i="1"/>
  <c r="P49" i="1"/>
  <c r="Q73" i="1"/>
  <c r="P73" i="1"/>
  <c r="V18" i="1"/>
  <c r="M18" i="1" s="1"/>
  <c r="U56" i="1"/>
  <c r="V58" i="1"/>
  <c r="M58" i="1" s="1"/>
  <c r="U66" i="1"/>
  <c r="U39" i="1"/>
  <c r="V74" i="1"/>
  <c r="M74" i="1" s="1"/>
  <c r="U8" i="1"/>
  <c r="N26" i="1" l="1"/>
  <c r="G14" i="2" s="1"/>
  <c r="G15" i="2" s="1"/>
  <c r="AF26" i="1"/>
  <c r="AG20" i="1" s="1"/>
  <c r="Q65" i="1"/>
  <c r="P65" i="1"/>
  <c r="W31" i="1"/>
  <c r="V31" i="1"/>
  <c r="M31" i="1" s="1"/>
  <c r="AF58" i="1"/>
  <c r="AE58" i="1"/>
  <c r="N58" i="1"/>
  <c r="V50" i="1"/>
  <c r="M50" i="1" s="1"/>
  <c r="Q26" i="1"/>
  <c r="R20" i="1" s="1"/>
  <c r="P26" i="1"/>
  <c r="Q7" i="1"/>
  <c r="P7" i="1"/>
  <c r="Q38" i="1"/>
  <c r="P38" i="1"/>
  <c r="AF18" i="1"/>
  <c r="AE18" i="1"/>
  <c r="N18" i="1"/>
  <c r="M19" i="1"/>
  <c r="V56" i="1"/>
  <c r="M56" i="1" s="1"/>
  <c r="N74" i="1"/>
  <c r="AE74" i="1"/>
  <c r="AF74" i="1"/>
  <c r="Q55" i="1"/>
  <c r="P55" i="1"/>
  <c r="V66" i="1"/>
  <c r="M66" i="1" s="1"/>
  <c r="U59" i="1"/>
  <c r="V39" i="1"/>
  <c r="M39" i="1" s="1"/>
  <c r="U75" i="1"/>
  <c r="V8" i="1"/>
  <c r="M8" i="1" s="1"/>
  <c r="AF66" i="1" l="1"/>
  <c r="AE66" i="1"/>
  <c r="N66" i="1"/>
  <c r="P74" i="1"/>
  <c r="Q74" i="1"/>
  <c r="AE50" i="1"/>
  <c r="AF50" i="1"/>
  <c r="N50" i="1"/>
  <c r="N56" i="1"/>
  <c r="AF56" i="1"/>
  <c r="AE56" i="1"/>
  <c r="P58" i="1"/>
  <c r="Q58" i="1"/>
  <c r="Q18" i="1"/>
  <c r="P18" i="1"/>
  <c r="AE19" i="1"/>
  <c r="N19" i="1"/>
  <c r="F14" i="2" s="1"/>
  <c r="F15" i="2" s="1"/>
  <c r="AF19" i="1"/>
  <c r="AG14" i="1" s="1"/>
  <c r="N8" i="1"/>
  <c r="AF8" i="1"/>
  <c r="AE8" i="1"/>
  <c r="N39" i="1"/>
  <c r="AE39" i="1"/>
  <c r="AF39" i="1"/>
  <c r="N31" i="1"/>
  <c r="AE31" i="1"/>
  <c r="AF31" i="1"/>
  <c r="U51" i="1"/>
  <c r="U67" i="1"/>
  <c r="V59" i="1"/>
  <c r="M59" i="1" s="1"/>
  <c r="U9" i="1"/>
  <c r="U40" i="1"/>
  <c r="P50" i="1" l="1"/>
  <c r="Q50" i="1"/>
  <c r="V51" i="1"/>
  <c r="M51" i="1" s="1"/>
  <c r="Q31" i="1"/>
  <c r="P31" i="1"/>
  <c r="W75" i="1"/>
  <c r="V75" i="1"/>
  <c r="M75" i="1" s="1"/>
  <c r="P56" i="1"/>
  <c r="Q56" i="1"/>
  <c r="Q8" i="1"/>
  <c r="P8" i="1"/>
  <c r="Q19" i="1"/>
  <c r="R14" i="1" s="1"/>
  <c r="P19" i="1"/>
  <c r="Q66" i="1"/>
  <c r="P66" i="1"/>
  <c r="AF59" i="1"/>
  <c r="AE59" i="1"/>
  <c r="N59" i="1"/>
  <c r="P39" i="1"/>
  <c r="Q39" i="1"/>
  <c r="V9" i="1"/>
  <c r="M9" i="1" s="1"/>
  <c r="V67" i="1"/>
  <c r="M67" i="1" s="1"/>
  <c r="U60" i="1"/>
  <c r="N67" i="1" l="1"/>
  <c r="AF67" i="1"/>
  <c r="AE67" i="1"/>
  <c r="N9" i="1"/>
  <c r="AE9" i="1"/>
  <c r="AF9" i="1"/>
  <c r="M10" i="1"/>
  <c r="AE75" i="1"/>
  <c r="N75" i="1"/>
  <c r="AF75" i="1"/>
  <c r="P59" i="1"/>
  <c r="Q59" i="1"/>
  <c r="V40" i="1"/>
  <c r="M40" i="1" s="1"/>
  <c r="W40" i="1"/>
  <c r="X31" i="1"/>
  <c r="U32" i="1"/>
  <c r="N51" i="1"/>
  <c r="AF51" i="1"/>
  <c r="AE51" i="1"/>
  <c r="M52" i="1"/>
  <c r="V60" i="1"/>
  <c r="M60" i="1" s="1"/>
  <c r="U61" i="1"/>
  <c r="U68" i="1"/>
  <c r="V32" i="1"/>
  <c r="M32" i="1" s="1"/>
  <c r="AE60" i="1" l="1"/>
  <c r="N60" i="1"/>
  <c r="AF60" i="1"/>
  <c r="M62" i="1"/>
  <c r="N52" i="1"/>
  <c r="H14" i="2" s="1"/>
  <c r="H15" i="2" s="1"/>
  <c r="AF52" i="1"/>
  <c r="AG45" i="1" s="1"/>
  <c r="AE52" i="1"/>
  <c r="Q75" i="1"/>
  <c r="P75" i="1"/>
  <c r="AE32" i="1"/>
  <c r="AF32" i="1"/>
  <c r="N32" i="1"/>
  <c r="N10" i="1"/>
  <c r="D14" i="2" s="1"/>
  <c r="AF10" i="1"/>
  <c r="AG5" i="1" s="1"/>
  <c r="AE10" i="1"/>
  <c r="P51" i="1"/>
  <c r="Q51" i="1"/>
  <c r="Q9" i="1"/>
  <c r="P9" i="1"/>
  <c r="AF40" i="1"/>
  <c r="AE40" i="1"/>
  <c r="N40" i="1"/>
  <c r="P67" i="1"/>
  <c r="Q67" i="1"/>
  <c r="V68" i="1"/>
  <c r="M68" i="1" s="1"/>
  <c r="U33" i="1"/>
  <c r="D15" i="2" l="1"/>
  <c r="Q40" i="1"/>
  <c r="P40" i="1"/>
  <c r="Q32" i="1"/>
  <c r="P32" i="1"/>
  <c r="X75" i="1"/>
  <c r="U76" i="1"/>
  <c r="AF62" i="1"/>
  <c r="AG53" i="1" s="1"/>
  <c r="AE62" i="1"/>
  <c r="N62" i="1"/>
  <c r="I14" i="2" s="1"/>
  <c r="I15" i="2" s="1"/>
  <c r="N68" i="1"/>
  <c r="AF68" i="1"/>
  <c r="AE68" i="1"/>
  <c r="P52" i="1"/>
  <c r="Q52" i="1"/>
  <c r="R45" i="1" s="1"/>
  <c r="P60" i="1"/>
  <c r="Q60" i="1"/>
  <c r="Q10" i="1"/>
  <c r="R5" i="1" s="1"/>
  <c r="P10" i="1"/>
  <c r="V33" i="1"/>
  <c r="M33" i="1" s="1"/>
  <c r="V76" i="1"/>
  <c r="M76" i="1" s="1"/>
  <c r="U41" i="1" l="1"/>
  <c r="X40" i="1"/>
  <c r="AF33" i="1"/>
  <c r="AE33" i="1"/>
  <c r="N33" i="1"/>
  <c r="P62" i="1"/>
  <c r="Q62" i="1"/>
  <c r="R53" i="1" s="1"/>
  <c r="N76" i="1"/>
  <c r="AF76" i="1"/>
  <c r="AE76" i="1"/>
  <c r="Q68" i="1"/>
  <c r="P68" i="1"/>
  <c r="V41" i="1"/>
  <c r="M41" i="1" s="1"/>
  <c r="U77" i="1"/>
  <c r="U34" i="1"/>
  <c r="P76" i="1" l="1"/>
  <c r="Q76" i="1"/>
  <c r="N41" i="1"/>
  <c r="AF41" i="1"/>
  <c r="AE41" i="1"/>
  <c r="Q33" i="1"/>
  <c r="P33" i="1"/>
  <c r="U42" i="1"/>
  <c r="H2" i="1" l="1"/>
  <c r="Q41" i="1"/>
  <c r="P41" i="1"/>
  <c r="V34" i="1"/>
  <c r="M34" i="1" s="1"/>
  <c r="V77" i="1"/>
  <c r="M77" i="1" s="1"/>
  <c r="U69" i="1"/>
  <c r="V42" i="1"/>
  <c r="M42" i="1" s="1"/>
  <c r="AE42" i="1" l="1"/>
  <c r="N42" i="1"/>
  <c r="AF42" i="1"/>
  <c r="N77" i="1"/>
  <c r="AF77" i="1"/>
  <c r="AE77" i="1"/>
  <c r="M78" i="1"/>
  <c r="N34" i="1"/>
  <c r="AF34" i="1"/>
  <c r="AE34" i="1"/>
  <c r="M35" i="1"/>
  <c r="V69" i="1"/>
  <c r="M69" i="1" s="1"/>
  <c r="U43" i="1"/>
  <c r="V43" i="1" l="1"/>
  <c r="M43" i="1" s="1"/>
  <c r="AF35" i="1"/>
  <c r="AG27" i="1" s="1"/>
  <c r="AE35" i="1"/>
  <c r="N35" i="1"/>
  <c r="K14" i="2" s="1"/>
  <c r="Q42" i="1"/>
  <c r="P42" i="1"/>
  <c r="P34" i="1"/>
  <c r="Q34" i="1"/>
  <c r="AF78" i="1"/>
  <c r="AG71" i="1" s="1"/>
  <c r="AE78" i="1"/>
  <c r="N78" i="1"/>
  <c r="M14" i="2" s="1"/>
  <c r="M15" i="2" s="1"/>
  <c r="Q77" i="1"/>
  <c r="P77" i="1"/>
  <c r="N69" i="1"/>
  <c r="AF69" i="1"/>
  <c r="AE69" i="1"/>
  <c r="M70" i="1"/>
  <c r="K15" i="2" l="1"/>
  <c r="P69" i="1"/>
  <c r="Q69" i="1"/>
  <c r="P78" i="1"/>
  <c r="Q78" i="1"/>
  <c r="R71" i="1" s="1"/>
  <c r="N70" i="1"/>
  <c r="J14" i="2" s="1"/>
  <c r="AE70" i="1"/>
  <c r="AF70" i="1"/>
  <c r="AG63" i="1" s="1"/>
  <c r="P35" i="1"/>
  <c r="Q35" i="1"/>
  <c r="R27" i="1" s="1"/>
  <c r="AE43" i="1"/>
  <c r="AF43" i="1"/>
  <c r="N43" i="1"/>
  <c r="M44" i="1"/>
  <c r="J15" i="2" l="1"/>
  <c r="G7" i="2"/>
  <c r="F7" i="2"/>
  <c r="P43" i="1"/>
  <c r="Q43" i="1"/>
  <c r="P70" i="1"/>
  <c r="Q70" i="1"/>
  <c r="R63" i="1" s="1"/>
  <c r="AE44" i="1"/>
  <c r="AF44" i="1"/>
  <c r="AG36" i="1" s="1"/>
  <c r="N44" i="1"/>
  <c r="D2" i="1" l="1"/>
  <c r="L14" i="2"/>
  <c r="G8" i="2"/>
  <c r="F8" i="2"/>
  <c r="Q44" i="1"/>
  <c r="R36" i="1" s="1"/>
  <c r="P44" i="1"/>
  <c r="L15" i="2" l="1"/>
  <c r="I7" i="2"/>
  <c r="E7" i="2"/>
  <c r="I8" i="2" l="1"/>
  <c r="E8" i="2"/>
</calcChain>
</file>

<file path=xl/sharedStrings.xml><?xml version="1.0" encoding="utf-8"?>
<sst xmlns="http://schemas.openxmlformats.org/spreadsheetml/2006/main" count="11109" uniqueCount="2787">
  <si>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</si>
  <si>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</si>
  <si>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</si>
  <si>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</si>
  <si>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</si>
  <si>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</si>
  <si>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</si>
  <si>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</si>
  <si>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</si>
  <si>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</si>
  <si>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</si>
  <si>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</si>
  <si>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</si>
  <si>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</si>
  <si>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</si>
  <si>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</si>
  <si>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</si>
  <si>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</si>
  <si>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</si>
  <si>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</si>
  <si>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</si>
  <si>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</si>
  <si>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</si>
  <si>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</si>
  <si>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</si>
  <si>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</si>
  <si>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</si>
  <si>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</si>
  <si>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</si>
  <si>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</si>
  <si>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</si>
  <si>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</si>
  <si>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</si>
  <si>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</si>
  <si>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</si>
  <si>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</si>
  <si>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</si>
  <si>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</si>
  <si>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</si>
  <si>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</si>
  <si>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</si>
  <si>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</si>
  <si>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</si>
  <si>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</si>
  <si>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</si>
  <si>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</si>
  <si>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</si>
  <si>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</si>
  <si>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</si>
  <si>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</si>
  <si>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</si>
  <si>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</si>
  <si>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</si>
  <si>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</si>
  <si>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</si>
  <si>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</si>
  <si>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</si>
  <si>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</si>
  <si>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</si>
  <si>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</si>
  <si>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</si>
  <si>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</si>
  <si>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</si>
  <si>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</si>
  <si>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</si>
  <si>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</si>
  <si>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</si>
  <si>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</si>
  <si>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</si>
  <si>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</si>
  <si>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</si>
  <si>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</si>
  <si>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</si>
  <si>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</si>
  <si>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</si>
  <si>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</si>
  <si>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</si>
  <si>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星期日</t>
  </si>
  <si>
    <t>微波主食</t>
  </si>
  <si>
    <t>二配港式香滑嫩蛋牛肉燴飯</t>
  </si>
  <si>
    <t>二配美味蟹煲</t>
  </si>
  <si>
    <t>二配麻油雞燴飯</t>
  </si>
  <si>
    <t>二配濃蕃茄火腿蛋包飯</t>
  </si>
  <si>
    <t>二配香炒沙茶豬肉飯</t>
  </si>
  <si>
    <t>沙拉</t>
  </si>
  <si>
    <t>青醬優格雞肉握沙拉(113年)</t>
  </si>
  <si>
    <t>青檸烤雞握沙拉(113年)</t>
  </si>
  <si>
    <t>小吃</t>
  </si>
  <si>
    <t>剝皮辣椒雞湯</t>
  </si>
  <si>
    <t>二配金咖哩濃厚辛口咖哩飯</t>
  </si>
  <si>
    <t>二配金咖哩果香甘口咖哩飯</t>
  </si>
  <si>
    <t>二配泰式綠咖哩雞</t>
  </si>
  <si>
    <t>鐵板滑蛋炸豬排丼</t>
  </si>
  <si>
    <t>極上炙烤親子丼</t>
  </si>
  <si>
    <t>二配川味麻婆燒豆腐燴飯</t>
  </si>
  <si>
    <t>二配起司控培根白醬焗烤飯</t>
  </si>
  <si>
    <t>二配厚香料咖哩雞排飯</t>
  </si>
  <si>
    <t>三明治</t>
  </si>
  <si>
    <t>紐奧良風味烤雞鮮蔬三明治</t>
  </si>
  <si>
    <t>好多菜三明治(114年)</t>
  </si>
  <si>
    <t>經典總匯三明治</t>
  </si>
  <si>
    <t>雞蛋沙拉三明治(114年)</t>
  </si>
  <si>
    <t>陽光地瓜總匯三明治</t>
  </si>
  <si>
    <t>鮪魚起司溏心蛋三明治</t>
  </si>
  <si>
    <t>肉鬆火腿三明治</t>
  </si>
  <si>
    <t>醬燒烤雞三明治</t>
  </si>
  <si>
    <t>藍莓優格三明治</t>
  </si>
  <si>
    <t>輕乳酪巧克力三明治</t>
  </si>
  <si>
    <t>調理麵包</t>
  </si>
  <si>
    <t>茄汁薯餅蛋堡</t>
  </si>
  <si>
    <t>香雞蛋堡(112年)</t>
  </si>
  <si>
    <t>豬肉起司堡</t>
  </si>
  <si>
    <t>豬肉起司蛋堡</t>
  </si>
  <si>
    <t>美式雞腿堡</t>
  </si>
  <si>
    <t>莎莎烤雞麵沙拉</t>
  </si>
  <si>
    <t>壹號醬雞豚雙拼</t>
  </si>
  <si>
    <t>好多蒜燒豚飯</t>
  </si>
  <si>
    <t>美乃炙烤雞肉飯</t>
  </si>
  <si>
    <t>二配粗飽系雞排炒飯(114年)</t>
  </si>
  <si>
    <t>二配鮭魚蛋炒飯</t>
  </si>
  <si>
    <t>二配香辣醬蒜味香腸蛋炒飯</t>
  </si>
  <si>
    <t>二配香拌海鮮醬肉絲蛋炒飯</t>
  </si>
  <si>
    <t>溏心蛋洋芋沙拉</t>
  </si>
  <si>
    <t>焗烤洋芋沙拉</t>
  </si>
  <si>
    <t>排骨雞起司炒麵麵包</t>
  </si>
  <si>
    <t>墨西哥辣醬熱狗堡</t>
  </si>
  <si>
    <t>厚豆腐蛋白蕈菇豬肉堡</t>
  </si>
  <si>
    <t>經典雙牛起司堡(113年)</t>
  </si>
  <si>
    <t>香鬆起司蛋三明治(114年)</t>
  </si>
  <si>
    <t>瘋狂起司三明治(113年)</t>
  </si>
  <si>
    <t>經典火腿玉米蛋三明治</t>
  </si>
  <si>
    <t>覆盆莓榛果可可三明治</t>
  </si>
  <si>
    <t>火腿起司蛋三明治</t>
  </si>
  <si>
    <t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</si>
  <si>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</si>
  <si>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</si>
  <si>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</si>
  <si>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</si>
  <si>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</si>
  <si>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</si>
  <si>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</si>
  <si>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</si>
  <si>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</si>
  <si>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</si>
  <si>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</si>
  <si>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</si>
  <si>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</si>
  <si>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</si>
  <si>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</si>
  <si>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</si>
  <si>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</si>
  <si>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</si>
  <si>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</si>
  <si>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排關平均</t>
  </si>
  <si>
    <t>實績平均</t>
  </si>
  <si>
    <t>達成率平均</t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</si>
  <si>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</si>
  <si>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</si>
  <si>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</si>
  <si>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</si>
  <si>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</si>
  <si>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</si>
  <si>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</si>
  <si>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</si>
  <si>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</si>
  <si>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</si>
  <si>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</si>
  <si>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</si>
  <si>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</si>
  <si>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</si>
  <si>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</si>
  <si>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</si>
  <si>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</si>
  <si>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</si>
  <si>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</si>
  <si>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</si>
  <si>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</si>
  <si>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</si>
  <si>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</si>
  <si>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</si>
  <si>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</si>
  <si>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</si>
  <si>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</si>
  <si>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</si>
  <si>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</si>
  <si>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ET-55</t>
  </si>
  <si>
    <t>熱縮爐</t>
  </si>
  <si>
    <t>L型包裝機</t>
    <phoneticPr fontId="4" type="noConversion"/>
  </si>
  <si>
    <t>伺服包裝機</t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</si>
  <si>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</si>
  <si>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</si>
  <si>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</si>
  <si>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</si>
  <si>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</si>
  <si>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</si>
  <si>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</si>
  <si>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</si>
  <si>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</si>
  <si>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</si>
  <si>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</si>
  <si>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</si>
  <si>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</si>
  <si>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</si>
  <si>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</si>
  <si>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</si>
  <si>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</si>
  <si>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</si>
  <si>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</si>
  <si>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</si>
  <si>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</si>
  <si>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</si>
  <si>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</si>
  <si>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</si>
  <si>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</si>
  <si>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</si>
  <si>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</si>
  <si>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</si>
  <si>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</si>
  <si>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</si>
  <si>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</si>
  <si>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</si>
  <si>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</si>
  <si>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</si>
  <si>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</si>
  <si>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</si>
  <si>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</si>
  <si>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</si>
  <si>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</si>
  <si>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</si>
  <si>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</si>
  <si>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</si>
  <si>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</si>
  <si>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</si>
  <si>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</si>
  <si>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</si>
  <si>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</si>
  <si>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</si>
  <si>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</si>
  <si>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</si>
  <si>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</si>
  <si>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</si>
  <si>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</si>
  <si>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</si>
  <si>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</si>
  <si>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</si>
  <si>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</si>
  <si>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</si>
  <si>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</si>
  <si>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</si>
  <si>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</si>
  <si>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</si>
  <si>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</si>
  <si>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</si>
  <si>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</si>
  <si>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</si>
  <si>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</si>
  <si>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</si>
  <si>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</si>
  <si>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星期一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</si>
  <si>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</si>
  <si>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</si>
  <si>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</si>
  <si>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</si>
  <si>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</si>
  <si>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</si>
  <si>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</si>
  <si>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</si>
  <si>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</si>
  <si>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</si>
  <si>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</si>
  <si>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</si>
  <si>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</si>
  <si>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</si>
  <si>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</si>
  <si>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</si>
  <si>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</si>
  <si>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</si>
  <si>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</si>
  <si>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</si>
  <si>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</si>
  <si>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</si>
  <si>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</si>
  <si>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</si>
  <si>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</si>
  <si>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</si>
  <si>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</si>
  <si>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</si>
  <si>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</si>
  <si>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</si>
  <si>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</si>
  <si>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</si>
  <si>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</si>
  <si>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</si>
  <si>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</si>
  <si>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</si>
  <si>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</si>
  <si>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</si>
  <si>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</si>
  <si>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</si>
  <si>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</si>
  <si>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</si>
  <si>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</si>
  <si>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</si>
  <si>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星期二</t>
  </si>
  <si>
    <t>香蕉可可三明治</t>
  </si>
  <si>
    <t>香菜雞堡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</si>
  <si>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</si>
  <si>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</si>
  <si>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</si>
  <si>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</si>
  <si>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</si>
  <si>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</si>
  <si>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</si>
  <si>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</si>
  <si>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</si>
  <si>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</si>
  <si>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</si>
  <si>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</si>
  <si>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</si>
  <si>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</si>
  <si>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</si>
  <si>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</si>
  <si>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</si>
  <si>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</si>
  <si>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</si>
  <si>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</si>
  <si>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</si>
  <si>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</si>
  <si>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</si>
  <si>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</si>
  <si>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</si>
  <si>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</si>
  <si>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</si>
  <si>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</si>
  <si>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</si>
  <si>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</si>
  <si>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</si>
  <si>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</si>
  <si>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</si>
  <si>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</si>
  <si>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</si>
  <si>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</si>
  <si>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</si>
  <si>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</si>
  <si>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</si>
  <si>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</si>
  <si>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</si>
  <si>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</si>
  <si>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</si>
  <si>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</si>
  <si>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</si>
  <si>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</si>
  <si>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</si>
  <si>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</si>
  <si>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</si>
  <si>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</si>
  <si>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</si>
  <si>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</si>
  <si>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</si>
  <si>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</si>
  <si>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</si>
  <si>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</si>
  <si>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</si>
  <si>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</si>
  <si>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</si>
  <si>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</si>
  <si>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</si>
  <si>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</si>
  <si>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</si>
  <si>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</si>
  <si>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</si>
  <si>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</si>
  <si>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</si>
  <si>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</si>
  <si>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</si>
  <si>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</si>
  <si>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</si>
  <si>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</si>
  <si>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</si>
  <si>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</si>
  <si>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</si>
  <si>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</si>
  <si>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</si>
  <si>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</si>
  <si>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</si>
  <si>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</si>
  <si>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</si>
  <si>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</si>
  <si>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</si>
  <si>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</si>
  <si>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</si>
  <si>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</si>
  <si>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</si>
  <si>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</si>
  <si>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</si>
  <si>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</si>
  <si>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</si>
  <si>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</si>
  <si>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</si>
  <si>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</si>
  <si>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</si>
  <si>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</si>
  <si>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</si>
  <si>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</si>
  <si>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</si>
  <si>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</si>
  <si>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</si>
  <si>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</si>
  <si>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</si>
  <si>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</si>
  <si>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</si>
  <si>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</si>
  <si>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</si>
  <si>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</si>
  <si>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</si>
  <si>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</si>
  <si>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</si>
  <si>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</si>
  <si>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</si>
  <si>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</si>
  <si>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</si>
  <si>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</si>
  <si>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</si>
  <si>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</si>
  <si>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</si>
  <si>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</si>
  <si>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</si>
  <si>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</si>
  <si>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</si>
  <si>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</si>
  <si>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</si>
  <si>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</si>
  <si>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</si>
  <si>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</si>
  <si>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</si>
  <si>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</si>
  <si>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</si>
  <si>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</si>
  <si>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</si>
  <si>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</si>
  <si>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</si>
  <si>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</si>
  <si>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</si>
  <si>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</si>
  <si>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</si>
  <si>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</si>
  <si>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</si>
  <si>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</si>
  <si>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</si>
  <si>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</si>
  <si>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</si>
  <si>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</si>
  <si>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</si>
  <si>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</si>
  <si>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</si>
  <si>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</si>
  <si>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</si>
  <si>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</si>
  <si>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</si>
  <si>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</si>
  <si>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</si>
  <si>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</si>
  <si>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</si>
  <si>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</si>
  <si>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</si>
  <si>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</si>
  <si>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</si>
  <si>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</si>
  <si>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</si>
  <si>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</si>
  <si>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</si>
  <si>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</si>
  <si>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</si>
  <si>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</si>
  <si>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</si>
  <si>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</si>
  <si>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</si>
  <si>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</si>
  <si>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</si>
  <si>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</si>
  <si>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</si>
  <si>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</si>
  <si>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</si>
  <si>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</si>
  <si>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</si>
  <si>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</si>
  <si>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</si>
  <si>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</si>
  <si>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</si>
  <si>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</si>
  <si>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</si>
  <si>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</si>
  <si>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</si>
  <si>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</si>
  <si>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</si>
  <si>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</si>
  <si>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</si>
  <si>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</si>
  <si>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</si>
  <si>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</si>
  <si>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</si>
  <si>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</si>
  <si>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</si>
  <si>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</si>
  <si>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</si>
  <si>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</si>
  <si>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</si>
  <si>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</si>
  <si>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</si>
  <si>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</si>
  <si>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</si>
  <si>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</si>
  <si>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</si>
  <si>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</si>
  <si>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</si>
  <si>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</si>
  <si>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</si>
  <si>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</si>
  <si>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</si>
  <si>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</si>
  <si>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</si>
  <si>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</si>
  <si>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</si>
  <si>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</si>
  <si>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</si>
  <si>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</si>
  <si>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</si>
  <si>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</si>
  <si>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</si>
  <si>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</si>
  <si>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</si>
  <si>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</si>
  <si>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</si>
  <si>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</si>
  <si>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</si>
  <si>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</si>
  <si>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</si>
  <si>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</si>
  <si>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</si>
  <si>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</si>
  <si>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</si>
  <si>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</si>
  <si>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</si>
  <si>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</si>
  <si>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</si>
  <si>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</si>
  <si>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</si>
  <si>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</si>
  <si>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</si>
  <si>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</si>
  <si>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</si>
  <si>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</si>
  <si>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</si>
  <si>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</si>
  <si>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</si>
  <si>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</si>
  <si>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</si>
  <si>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</si>
  <si>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</si>
  <si>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</si>
  <si>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</si>
  <si>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</si>
  <si>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</si>
  <si>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產能差異分析</t>
    <phoneticPr fontId="4" type="noConversion"/>
  </si>
  <si>
    <t>星期四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</si>
  <si>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</si>
  <si>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</si>
  <si>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</si>
  <si>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</si>
  <si>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</si>
  <si>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</si>
  <si>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</si>
  <si>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</si>
  <si>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</si>
  <si>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</si>
  <si>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</si>
  <si>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</si>
  <si>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</si>
  <si>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</si>
  <si>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</si>
  <si>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</si>
  <si>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</si>
  <si>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</si>
  <si>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</si>
  <si>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</si>
  <si>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</si>
  <si>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</si>
  <si>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</si>
  <si>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</si>
  <si>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</si>
  <si>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</si>
  <si>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</si>
  <si>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</si>
  <si>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</si>
  <si>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</si>
  <si>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</si>
  <si>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</si>
  <si>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</si>
  <si>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</si>
  <si>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</si>
  <si>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</si>
  <si>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</si>
  <si>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</si>
  <si>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</si>
  <si>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</si>
  <si>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</si>
  <si>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</si>
  <si>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</si>
  <si>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</si>
  <si>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</si>
  <si>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</si>
  <si>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</si>
  <si>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</si>
  <si>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</si>
  <si>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</si>
  <si>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</si>
  <si>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</si>
  <si>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</si>
  <si>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</si>
  <si>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</si>
  <si>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</si>
  <si>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</si>
  <si>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</si>
  <si>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</si>
  <si>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</si>
  <si>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</si>
  <si>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</si>
  <si>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</si>
  <si>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</si>
  <si>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</si>
  <si>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</si>
  <si>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</si>
  <si>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</si>
  <si>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</si>
  <si>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</si>
  <si>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</si>
  <si>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</si>
  <si>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</si>
  <si>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</si>
  <si>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</si>
  <si>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</si>
  <si>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</si>
  <si>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</si>
  <si>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</si>
  <si>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</si>
  <si>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</si>
  <si>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</si>
  <si>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</si>
  <si>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</si>
  <si>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</si>
  <si>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</si>
  <si>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</si>
  <si>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</si>
  <si>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</si>
  <si>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</si>
  <si>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</si>
  <si>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</si>
  <si>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</si>
  <si>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</si>
  <si>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</si>
  <si>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</si>
  <si>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</si>
  <si>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</si>
  <si>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</si>
  <si>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</si>
  <si>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</si>
  <si>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</si>
  <si>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</si>
  <si>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</si>
  <si>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</si>
  <si>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</si>
  <si>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</si>
  <si>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</si>
  <si>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</si>
  <si>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</si>
  <si>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</si>
  <si>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</si>
  <si>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</si>
  <si>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</si>
  <si>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</si>
  <si>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</si>
  <si>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</si>
  <si>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</si>
  <si>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</si>
  <si>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</si>
  <si>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</si>
  <si>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</si>
  <si>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</si>
  <si>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</si>
  <si>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</si>
  <si>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</si>
  <si>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</si>
  <si>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</si>
  <si>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</si>
  <si>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</si>
  <si>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</si>
  <si>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</si>
  <si>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</si>
  <si>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</si>
  <si>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</si>
  <si>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</si>
  <si>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</si>
  <si>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</si>
  <si>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</si>
  <si>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</si>
  <si>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</si>
  <si>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</si>
  <si>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</si>
  <si>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</si>
  <si>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</si>
  <si>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</si>
  <si>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</si>
  <si>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</si>
  <si>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</si>
  <si>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</si>
  <si>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</si>
  <si>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</si>
  <si>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</si>
  <si>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</si>
  <si>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</si>
  <si>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</si>
  <si>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</si>
  <si>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</si>
  <si>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</si>
  <si>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</si>
  <si>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</si>
  <si>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</si>
  <si>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</si>
  <si>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</si>
  <si>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</si>
  <si>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</si>
  <si>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</si>
  <si>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</si>
  <si>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</si>
  <si>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</si>
  <si>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</si>
  <si>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</si>
  <si>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</si>
  <si>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</si>
  <si>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</si>
  <si>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</si>
  <si>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</si>
  <si>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</si>
  <si>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</si>
  <si>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</si>
  <si>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</si>
  <si>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</si>
  <si>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</si>
  <si>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</si>
  <si>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</si>
  <si>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出勤人數</t>
    <phoneticPr fontId="4" type="noConversion"/>
  </si>
  <si>
    <t>產線配置圖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</si>
  <si>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</si>
  <si>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</si>
  <si>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</si>
  <si>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產能差異分析</t>
    <phoneticPr fontId="4" type="noConversion"/>
  </si>
  <si>
    <t>星期六</t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</si>
  <si>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</si>
  <si>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</si>
  <si>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</si>
  <si>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</si>
  <si>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</si>
  <si>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</si>
  <si>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</si>
  <si>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</si>
  <si>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</si>
  <si>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</si>
  <si>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</si>
  <si>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</si>
  <si>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</si>
  <si>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</si>
  <si>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</si>
  <si>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</si>
  <si>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</si>
  <si>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</si>
  <si>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</si>
  <si>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</si>
  <si>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</si>
  <si>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</si>
  <si>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</si>
  <si>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</si>
  <si>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</si>
  <si>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</si>
  <si>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</si>
  <si>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</si>
  <si>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</si>
  <si>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</si>
  <si>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</si>
  <si>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</si>
  <si>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</si>
  <si>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</si>
  <si>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</si>
  <si>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</si>
  <si>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</si>
  <si>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</si>
  <si>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全溫層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</si>
  <si>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</si>
  <si>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</si>
  <si>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</si>
  <si>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</si>
  <si>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</si>
  <si>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</si>
  <si>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</si>
  <si>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開始</t>
    <phoneticPr fontId="3" type="noConversion"/>
  </si>
  <si>
    <t>次數</t>
    <phoneticPr fontId="13" type="noConversion"/>
  </si>
  <si>
    <t>時間/分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</si>
  <si>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</si>
  <si>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</si>
  <si>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</si>
  <si>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</si>
  <si>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</si>
  <si>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</si>
  <si>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>總生產量</t>
    <phoneticPr fontId="4" type="noConversion"/>
  </si>
  <si>
    <t>合計
設備次數</t>
    <phoneticPr fontId="3" type="noConversion"/>
  </si>
  <si>
    <t>產能/時</t>
    <phoneticPr fontId="4" type="noConversion"/>
  </si>
  <si>
    <t>稼動時間/分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</si>
  <si>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</si>
  <si>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</si>
  <si>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</si>
  <si>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</si>
  <si>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</si>
  <si>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</si>
  <si>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</si>
  <si>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</si>
  <si>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</si>
  <si>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</si>
  <si>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</si>
  <si>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</si>
  <si>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</si>
  <si>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</si>
  <si>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</si>
  <si>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</si>
  <si>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</si>
  <si>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</si>
  <si>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</si>
  <si>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</si>
  <si>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</si>
  <si>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</si>
  <si>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</si>
  <si>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</si>
  <si>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</si>
  <si>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</si>
  <si>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</si>
  <si>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</si>
  <si>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</si>
  <si>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</si>
  <si>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</si>
  <si>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</si>
  <si>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</si>
  <si>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</si>
  <si>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</si>
  <si>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</si>
  <si>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</si>
  <si>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</si>
  <si>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</si>
  <si>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</si>
  <si>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</si>
  <si>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</si>
  <si>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</si>
  <si>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</si>
  <si>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</si>
  <si>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</si>
  <si>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</si>
  <si>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</si>
  <si>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</si>
  <si>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</si>
  <si>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編組</t>
    <phoneticPr fontId="3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</si>
  <si>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</si>
  <si>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</si>
  <si>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</si>
  <si>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</si>
  <si>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</si>
  <si>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</si>
  <si>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</si>
  <si>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</si>
  <si>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</si>
  <si>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</si>
  <si>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</si>
  <si>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</si>
  <si>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</si>
  <si>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</si>
  <si>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</si>
  <si>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</si>
  <si>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</si>
  <si>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</si>
  <si>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</si>
  <si>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</si>
  <si>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產線配置圖</t>
    <phoneticPr fontId="4" type="noConversion"/>
  </si>
  <si>
    <t>產線異常
分析說明(5分鐘以上)</t>
    <phoneticPr fontId="4" type="noConversion"/>
  </si>
  <si>
    <t>合計
次數</t>
    <phoneticPr fontId="4" type="noConversion"/>
  </si>
  <si>
    <t>多次生產數</t>
    <phoneticPr fontId="4" type="noConversion"/>
  </si>
  <si>
    <t>品類</t>
    <phoneticPr fontId="4" type="noConversion"/>
  </si>
  <si>
    <t>生產量</t>
    <phoneticPr fontId="4" type="noConversion"/>
  </si>
  <si>
    <t>營收</t>
    <phoneticPr fontId="7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</si>
  <si>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</si>
  <si>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</si>
  <si>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</si>
  <si>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</si>
  <si>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</si>
  <si>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</si>
  <si>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</si>
  <si>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</si>
  <si>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</si>
  <si>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</si>
  <si>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</si>
  <si>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</si>
  <si>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</si>
  <si>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</si>
  <si>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</si>
  <si>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</si>
  <si>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</si>
  <si>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</si>
  <si>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</si>
  <si>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</si>
  <si>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</si>
  <si>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</si>
  <si>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</si>
  <si>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</si>
  <si>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</si>
  <si>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</si>
  <si>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</si>
  <si>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</si>
  <si>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</si>
  <si>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</si>
  <si>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</si>
  <si>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</si>
  <si>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</si>
  <si>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</si>
  <si>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</si>
  <si>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</si>
  <si>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</si>
  <si>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</si>
  <si>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</si>
  <si>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</si>
  <si>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</si>
  <si>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</si>
  <si>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</si>
  <si>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</si>
  <si>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</si>
  <si>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</si>
  <si>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</si>
  <si>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</si>
  <si>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</si>
  <si>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</si>
  <si>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</si>
  <si>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</si>
  <si>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</si>
  <si>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</si>
  <si>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</si>
  <si>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</si>
  <si>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</si>
  <si>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</si>
  <si>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</si>
  <si>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</si>
  <si>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</si>
  <si>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</si>
  <si>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</si>
  <si>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產線配置圖</t>
    <phoneticPr fontId="4" type="noConversion"/>
  </si>
  <si>
    <t>生產實績</t>
    <phoneticPr fontId="4" type="noConversion"/>
  </si>
  <si>
    <t>合計
時間/分</t>
    <phoneticPr fontId="3" type="noConversion"/>
  </si>
  <si>
    <t>產能差異分析</t>
    <phoneticPr fontId="4" type="noConversion"/>
  </si>
  <si>
    <t>線別</t>
    <phoneticPr fontId="3" type="noConversion"/>
  </si>
  <si>
    <t>多次
生產</t>
    <phoneticPr fontId="4" type="noConversion"/>
  </si>
  <si>
    <t>產能/時</t>
    <phoneticPr fontId="4" type="noConversion"/>
  </si>
  <si>
    <t>稼動時間/分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</si>
  <si>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</si>
  <si>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</si>
  <si>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</si>
  <si>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</si>
  <si>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</si>
  <si>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</si>
  <si>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</si>
  <si>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</si>
  <si>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</si>
  <si>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</si>
  <si>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</si>
  <si>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</si>
  <si>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</si>
  <si>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</si>
  <si>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</si>
  <si>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</si>
  <si>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</si>
  <si>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</si>
  <si>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</si>
  <si>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</si>
  <si>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</si>
  <si>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</si>
  <si>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</si>
  <si>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</si>
  <si>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</si>
  <si>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</si>
  <si>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</si>
  <si>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</si>
  <si>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</si>
  <si>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</si>
  <si>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</si>
  <si>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</si>
  <si>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</si>
  <si>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</si>
  <si>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</si>
  <si>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</si>
  <si>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</si>
  <si>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</si>
  <si>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</si>
  <si>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</si>
  <si>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</si>
  <si>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</si>
  <si>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</si>
  <si>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</si>
  <si>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</si>
  <si>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</si>
  <si>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</si>
  <si>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</si>
  <si>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</si>
  <si>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</si>
  <si>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</si>
  <si>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</si>
  <si>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配置人數</t>
    <phoneticPr fontId="3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</si>
  <si>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</si>
  <si>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</si>
  <si>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</si>
  <si>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</si>
  <si>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</si>
  <si>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</si>
  <si>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</si>
  <si>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</si>
  <si>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</si>
  <si>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</si>
  <si>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</si>
  <si>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</si>
  <si>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</si>
  <si>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</si>
  <si>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</si>
  <si>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</si>
  <si>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</si>
  <si>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</si>
  <si>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</si>
  <si>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</si>
  <si>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</si>
  <si>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</si>
  <si>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</si>
  <si>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</si>
  <si>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</si>
  <si>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</si>
  <si>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</si>
  <si>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</si>
  <si>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</si>
  <si>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</si>
  <si>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</si>
  <si>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</si>
  <si>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</si>
  <si>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</si>
  <si>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</si>
  <si>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</si>
  <si>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</si>
  <si>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</si>
  <si>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</si>
  <si>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</si>
  <si>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</si>
  <si>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</si>
  <si>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</si>
  <si>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</si>
  <si>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</si>
  <si>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</si>
  <si>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</si>
  <si>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</si>
  <si>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</si>
  <si>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</si>
  <si>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</si>
  <si>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</si>
  <si>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</si>
  <si>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</si>
  <si>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</si>
  <si>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</si>
  <si>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</si>
  <si>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</si>
  <si>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</si>
  <si>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</si>
  <si>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</si>
  <si>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</si>
  <si>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</si>
  <si>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</si>
  <si>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</si>
  <si>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</si>
  <si>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</si>
  <si>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</si>
  <si>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</si>
  <si>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備註</t>
    <phoneticPr fontId="3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</si>
  <si>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</si>
  <si>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</si>
  <si>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</si>
  <si>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</si>
  <si>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</si>
  <si>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</si>
  <si>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</si>
  <si>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</si>
  <si>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</si>
  <si>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</si>
  <si>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</si>
  <si>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</si>
  <si>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</si>
  <si>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</si>
  <si>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</si>
  <si>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</si>
  <si>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</si>
  <si>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</si>
  <si>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</si>
  <si>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</si>
  <si>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</si>
  <si>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</si>
  <si>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</si>
  <si>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</si>
  <si>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</si>
  <si>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</si>
  <si>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</si>
  <si>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</si>
  <si>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</si>
  <si>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</si>
  <si>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</si>
  <si>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</si>
  <si>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</si>
  <si>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</si>
  <si>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</si>
  <si>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</si>
  <si>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</si>
  <si>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</si>
  <si>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</si>
  <si>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</si>
  <si>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</si>
  <si>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</si>
  <si>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</si>
  <si>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</si>
  <si>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</si>
  <si>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</si>
  <si>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</si>
  <si>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</si>
  <si>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</si>
  <si>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</si>
  <si>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</si>
  <si>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</si>
  <si>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</si>
  <si>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</si>
  <si>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</si>
  <si>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</si>
  <si>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</si>
  <si>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</si>
  <si>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</si>
  <si>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</si>
  <si>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</si>
  <si>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</si>
  <si>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</si>
  <si>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</si>
  <si>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</si>
  <si>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</si>
  <si>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</si>
  <si>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</si>
  <si>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</si>
  <si>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</si>
  <si>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</si>
  <si>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</si>
  <si>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</si>
  <si>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</si>
  <si>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</si>
  <si>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</si>
  <si>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</si>
  <si>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</si>
  <si>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</si>
  <si>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</si>
  <si>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</si>
  <si>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</si>
  <si>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</si>
  <si>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</si>
  <si>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</si>
  <si>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</si>
  <si>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</si>
  <si>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</si>
  <si>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</si>
  <si>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</si>
  <si>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</si>
  <si>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</si>
  <si>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</si>
  <si>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</si>
  <si>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</si>
  <si>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</si>
  <si>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</si>
  <si>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</si>
  <si>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</si>
  <si>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</si>
  <si>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</si>
  <si>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</si>
  <si>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</si>
  <si>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</si>
  <si>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</si>
  <si>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</si>
  <si>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</si>
  <si>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</si>
  <si>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</si>
  <si>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</si>
  <si>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</si>
  <si>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</si>
  <si>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</si>
  <si>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</si>
  <si>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</si>
  <si>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</si>
  <si>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</si>
  <si>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</si>
  <si>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</si>
  <si>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</si>
  <si>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</si>
  <si>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</si>
  <si>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</si>
  <si>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</si>
  <si>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</si>
  <si>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</si>
  <si>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</si>
  <si>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</si>
  <si>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</si>
  <si>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</si>
  <si>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</si>
  <si>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</si>
  <si>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</si>
  <si>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</si>
  <si>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</si>
  <si>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</si>
  <si>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</si>
  <si>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</si>
  <si>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</si>
  <si>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</si>
  <si>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</si>
  <si>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</si>
  <si>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</si>
  <si>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</si>
  <si>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</si>
  <si>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</si>
  <si>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</si>
  <si>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</si>
  <si>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</si>
  <si>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</si>
  <si>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</si>
  <si>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</si>
  <si>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</si>
  <si>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</si>
  <si>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</si>
  <si>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</si>
  <si>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</si>
  <si>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</si>
  <si>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</si>
  <si>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</si>
  <si>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</si>
  <si>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</si>
  <si>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</si>
  <si>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</si>
  <si>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</si>
  <si>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</si>
  <si>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</si>
  <si>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</si>
  <si>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</si>
  <si>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</si>
  <si>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</si>
  <si>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</si>
  <si>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</si>
  <si>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</si>
  <si>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</si>
  <si>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</si>
  <si>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</si>
  <si>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</si>
  <si>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</si>
  <si>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</si>
  <si>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</si>
  <si>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</si>
  <si>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</si>
  <si>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</si>
  <si>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</si>
  <si>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</si>
  <si>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</si>
  <si>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</si>
  <si>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</si>
  <si>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</si>
  <si>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</si>
  <si>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</si>
  <si>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</si>
  <si>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</si>
  <si>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</si>
  <si>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</si>
  <si>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</si>
  <si>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</si>
  <si>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</si>
  <si>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</si>
  <si>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</si>
  <si>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</si>
  <si>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</si>
  <si>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</si>
  <si>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</si>
  <si>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</si>
  <si>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</si>
  <si>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</si>
  <si>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</si>
  <si>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</si>
  <si>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</si>
  <si>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</si>
  <si>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</si>
  <si>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</si>
  <si>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</si>
  <si>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</si>
  <si>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</si>
  <si>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</si>
  <si>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營收</t>
    <phoneticPr fontId="7" type="noConversion"/>
  </si>
  <si>
    <t>產能/時</t>
    <phoneticPr fontId="4" type="noConversion"/>
  </si>
  <si>
    <t>人時性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</si>
  <si>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</si>
  <si>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</si>
  <si>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</si>
  <si>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</si>
  <si>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</si>
  <si>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</si>
  <si>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</si>
  <si>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</si>
  <si>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</si>
  <si>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</si>
  <si>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</si>
  <si>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</si>
  <si>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</si>
  <si>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</si>
  <si>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</si>
  <si>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</si>
  <si>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</si>
  <si>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</si>
  <si>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</si>
  <si>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</si>
  <si>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</si>
  <si>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</si>
  <si>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</si>
  <si>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</si>
  <si>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</si>
  <si>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</si>
  <si>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</si>
  <si>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</si>
  <si>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</si>
  <si>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</si>
  <si>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</si>
  <si>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</si>
  <si>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</si>
  <si>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</si>
  <si>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</si>
  <si>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</si>
  <si>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</si>
  <si>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</si>
  <si>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</si>
  <si>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</si>
  <si>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</si>
  <si>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</si>
  <si>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</si>
  <si>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</si>
  <si>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</si>
  <si>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</si>
  <si>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</si>
  <si>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</si>
  <si>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</si>
  <si>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</si>
  <si>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</si>
  <si>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</si>
  <si>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</si>
  <si>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</si>
  <si>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</si>
  <si>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</si>
  <si>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</si>
  <si>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</si>
  <si>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</si>
  <si>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</si>
  <si>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</si>
  <si>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</si>
  <si>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</si>
  <si>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</si>
  <si>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</si>
  <si>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</si>
  <si>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</si>
  <si>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</si>
  <si>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</si>
  <si>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</si>
  <si>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</si>
  <si>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</si>
  <si>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新豐3線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</si>
  <si>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</si>
  <si>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</si>
  <si>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</si>
  <si>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</si>
  <si>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</si>
  <si>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</si>
  <si>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</si>
  <si>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</si>
  <si>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</si>
  <si>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</si>
  <si>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</si>
  <si>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</si>
  <si>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</si>
  <si>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</si>
  <si>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</si>
  <si>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</si>
  <si>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</si>
  <si>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</si>
  <si>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</si>
  <si>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</si>
  <si>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</si>
  <si>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</si>
  <si>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</si>
  <si>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</si>
  <si>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</si>
  <si>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</si>
  <si>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</si>
  <si>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</si>
  <si>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</si>
  <si>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</si>
  <si>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</si>
  <si>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</si>
  <si>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</si>
  <si>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</si>
  <si>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</si>
  <si>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</si>
  <si>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</si>
  <si>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</si>
  <si>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</si>
  <si>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</si>
  <si>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>(新豐回填)</t>
    <phoneticPr fontId="4" type="noConversion"/>
  </si>
  <si>
    <t>產能/時</t>
    <phoneticPr fontId="4" type="noConversion"/>
  </si>
  <si>
    <t>設備因素(次數)</t>
    <phoneticPr fontId="13" type="noConversion"/>
  </si>
  <si>
    <t>新豐5線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</si>
  <si>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</si>
  <si>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</si>
  <si>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</si>
  <si>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</si>
  <si>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</si>
  <si>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</si>
  <si>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</si>
  <si>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</si>
  <si>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</si>
  <si>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</si>
  <si>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</si>
  <si>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</si>
  <si>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</si>
  <si>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</si>
  <si>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</si>
  <si>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</si>
  <si>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</si>
  <si>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</si>
  <si>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</si>
  <si>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</si>
  <si>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</si>
  <si>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</si>
  <si>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</si>
  <si>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</si>
  <si>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</si>
  <si>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</si>
  <si>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</si>
  <si>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</si>
  <si>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</si>
  <si>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</si>
  <si>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</si>
  <si>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</si>
  <si>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</si>
  <si>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</si>
  <si>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</si>
  <si>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</si>
  <si>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</si>
  <si>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</si>
  <si>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</si>
  <si>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</si>
  <si>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</si>
  <si>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</si>
  <si>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</si>
  <si>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</si>
  <si>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</si>
  <si>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</si>
  <si>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</si>
  <si>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</si>
  <si>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</si>
  <si>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</si>
  <si>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</si>
  <si>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</si>
  <si>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</si>
  <si>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</si>
  <si>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</si>
  <si>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</si>
  <si>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</si>
  <si>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</si>
  <si>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</si>
  <si>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</si>
  <si>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</si>
  <si>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</si>
  <si>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</si>
  <si>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</si>
  <si>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</si>
  <si>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</si>
  <si>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</si>
  <si>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</si>
  <si>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</si>
  <si>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</si>
  <si>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</si>
  <si>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</si>
  <si>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</si>
  <si>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</si>
  <si>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</si>
  <si>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</si>
  <si>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</si>
  <si>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</si>
  <si>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</si>
  <si>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</si>
  <si>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</si>
  <si>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</si>
  <si>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</si>
  <si>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</si>
  <si>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</si>
  <si>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</si>
  <si>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</si>
  <si>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</si>
  <si>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黃金魚堡(114年)</t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</si>
  <si>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</si>
  <si>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</si>
  <si>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</si>
  <si>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</si>
  <si>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</si>
  <si>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</si>
  <si>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</si>
  <si>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</si>
  <si>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</si>
  <si>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</si>
  <si>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</si>
  <si>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</si>
  <si>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</si>
  <si>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</si>
  <si>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</si>
  <si>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</si>
  <si>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</si>
  <si>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</si>
  <si>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</si>
  <si>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</si>
  <si>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</si>
  <si>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</si>
  <si>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</si>
  <si>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</si>
  <si>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</si>
  <si>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</si>
  <si>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</si>
  <si>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</si>
  <si>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</si>
  <si>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</si>
  <si>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</si>
  <si>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</si>
  <si>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</si>
  <si>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</si>
  <si>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</si>
  <si>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</si>
  <si>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</si>
  <si>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</si>
  <si>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</si>
  <si>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</si>
  <si>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</si>
  <si>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</si>
  <si>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</si>
  <si>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</si>
  <si>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</si>
  <si>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</si>
  <si>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</si>
  <si>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</si>
  <si>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</si>
  <si>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</si>
  <si>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</si>
  <si>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</si>
  <si>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</si>
  <si>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</si>
  <si>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</si>
  <si>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</si>
  <si>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</si>
  <si>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</si>
  <si>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</si>
  <si>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</si>
  <si>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</si>
  <si>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</si>
  <si>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</si>
  <si>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達成率平均</t>
    <phoneticPr fontId="4" type="noConversion"/>
  </si>
  <si>
    <t>結束</t>
    <phoneticPr fontId="4" type="noConversion"/>
  </si>
  <si>
    <t>時間/分</t>
    <phoneticPr fontId="13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</si>
  <si>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</si>
  <si>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</si>
  <si>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</si>
  <si>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</si>
  <si>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</si>
  <si>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</si>
  <si>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</si>
  <si>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</si>
  <si>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</si>
  <si>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</si>
  <si>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</si>
  <si>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</si>
  <si>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</si>
  <si>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</si>
  <si>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</si>
  <si>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</si>
  <si>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</si>
  <si>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</si>
  <si>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</si>
  <si>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</si>
  <si>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</si>
  <si>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</si>
  <si>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</si>
  <si>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</si>
  <si>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</si>
  <si>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</si>
  <si>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</si>
  <si>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</si>
  <si>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</si>
  <si>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</si>
  <si>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</si>
  <si>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</si>
  <si>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</si>
  <si>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</si>
  <si>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</si>
  <si>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</si>
  <si>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</si>
  <si>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</si>
  <si>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</si>
  <si>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</si>
  <si>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</si>
  <si>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</si>
  <si>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</si>
  <si>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</si>
  <si>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</si>
  <si>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</si>
  <si>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</si>
  <si>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</si>
  <si>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</si>
  <si>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</si>
  <si>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</si>
  <si>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</si>
  <si>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</si>
  <si>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</si>
  <si>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</si>
  <si>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</si>
  <si>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</si>
  <si>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</si>
  <si>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</si>
  <si>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</si>
  <si>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</si>
  <si>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合計
時間/分</t>
    <phoneticPr fontId="3" type="noConversion"/>
  </si>
  <si>
    <t>合計
設備次數</t>
    <phoneticPr fontId="3" type="noConversion"/>
  </si>
  <si>
    <t>品名</t>
    <phoneticPr fontId="3" type="noConversion"/>
  </si>
  <si>
    <t>廠價</t>
    <phoneticPr fontId="7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</si>
  <si>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</si>
  <si>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</si>
  <si>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</si>
  <si>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</si>
  <si>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</si>
  <si>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</si>
  <si>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</si>
  <si>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</si>
  <si>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</si>
  <si>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</si>
  <si>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</si>
  <si>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</si>
  <si>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</si>
  <si>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</si>
  <si>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</si>
  <si>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</si>
  <si>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</si>
  <si>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</si>
  <si>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</si>
  <si>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</si>
  <si>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</si>
  <si>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</si>
  <si>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</si>
  <si>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</si>
  <si>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</si>
  <si>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</si>
  <si>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</si>
  <si>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</si>
  <si>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</si>
  <si>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</si>
  <si>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</si>
  <si>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</si>
  <si>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</si>
  <si>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</si>
  <si>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</si>
  <si>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</si>
  <si>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</si>
  <si>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</si>
  <si>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</si>
  <si>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</si>
  <si>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</si>
  <si>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</si>
  <si>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</si>
  <si>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</si>
  <si>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</si>
  <si>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</si>
  <si>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</si>
  <si>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</si>
  <si>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</si>
  <si>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</si>
  <si>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</si>
  <si>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</si>
  <si>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</si>
  <si>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</si>
  <si>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</si>
  <si>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</si>
  <si>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</si>
  <si>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</si>
  <si>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</si>
  <si>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</si>
  <si>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</si>
  <si>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</si>
  <si>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</si>
  <si>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</si>
  <si>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</si>
  <si>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</si>
  <si>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</si>
  <si>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</si>
  <si>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</si>
  <si>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</si>
  <si>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</si>
  <si>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</si>
  <si>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</si>
  <si>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</si>
  <si>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</si>
  <si>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</si>
  <si>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</si>
  <si>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</si>
  <si>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</si>
  <si>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</si>
  <si>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</si>
  <si>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</si>
  <si>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</si>
  <si>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</si>
  <si>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</si>
  <si>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</si>
  <si>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</si>
  <si>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</si>
  <si>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</si>
  <si>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</si>
  <si>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</si>
  <si>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</si>
  <si>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</si>
  <si>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</si>
  <si>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</si>
  <si>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</si>
  <si>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</si>
  <si>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</si>
  <si>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</si>
  <si>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</si>
  <si>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</si>
  <si>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</si>
  <si>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</si>
  <si>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</si>
  <si>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</si>
  <si>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</si>
  <si>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</si>
  <si>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</si>
  <si>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</si>
  <si>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</si>
  <si>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</si>
  <si>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</si>
  <si>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</si>
  <si>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</si>
  <si>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</si>
  <si>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</si>
  <si>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</si>
  <si>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</si>
  <si>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</si>
  <si>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</si>
  <si>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</si>
  <si>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</si>
  <si>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</si>
  <si>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</si>
  <si>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</si>
  <si>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</si>
  <si>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</si>
  <si>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</si>
  <si>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</si>
  <si>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</si>
  <si>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</si>
  <si>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</si>
  <si>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</si>
  <si>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</si>
  <si>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</si>
  <si>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</si>
  <si>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</si>
  <si>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</si>
  <si>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</si>
  <si>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</si>
  <si>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</si>
  <si>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</si>
  <si>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</si>
  <si>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</si>
  <si>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</si>
  <si>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</si>
  <si>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</si>
  <si>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</si>
  <si>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</si>
  <si>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</si>
  <si>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</si>
  <si>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</si>
  <si>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</si>
  <si>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</si>
  <si>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</si>
  <si>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</si>
  <si>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</si>
  <si>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</si>
  <si>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</si>
  <si>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</si>
  <si>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</si>
  <si>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</si>
  <si>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</si>
  <si>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</si>
  <si>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</si>
  <si>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</si>
  <si>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</si>
  <si>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</si>
  <si>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</si>
  <si>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</si>
  <si>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</si>
  <si>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</si>
  <si>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</si>
  <si>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</si>
  <si>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</si>
  <si>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</si>
  <si>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</si>
  <si>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</si>
  <si>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</si>
  <si>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</si>
  <si>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</si>
  <si>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</si>
  <si>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</si>
  <si>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</si>
  <si>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</si>
  <si>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</si>
  <si>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</si>
  <si>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</si>
  <si>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</si>
  <si>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</si>
  <si>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</si>
  <si>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</si>
  <si>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</si>
  <si>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</si>
  <si>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</si>
  <si>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</si>
  <si>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</si>
  <si>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</si>
  <si>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</si>
  <si>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</si>
  <si>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</si>
  <si>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</si>
  <si>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</si>
  <si>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</si>
  <si>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</si>
  <si>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</si>
  <si>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</si>
  <si>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</si>
  <si>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</si>
  <si>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</si>
  <si>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</si>
  <si>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</si>
  <si>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</si>
  <si>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</si>
  <si>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</si>
  <si>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</si>
  <si>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</si>
  <si>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</si>
  <si>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</si>
  <si>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</si>
  <si>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</si>
  <si>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</si>
  <si>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</si>
  <si>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</si>
  <si>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</si>
  <si>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</si>
  <si>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</si>
  <si>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</si>
  <si>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</si>
  <si>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</si>
  <si>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</si>
  <si>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</si>
  <si>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</si>
  <si>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</si>
  <si>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</si>
  <si>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</si>
  <si>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</si>
  <si>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</si>
  <si>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</si>
  <si>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</si>
  <si>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</si>
  <si>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</si>
  <si>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</si>
  <si>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</si>
  <si>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</si>
  <si>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</si>
  <si>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</si>
  <si>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</si>
  <si>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</si>
  <si>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</si>
  <si>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</si>
  <si>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</si>
  <si>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</si>
  <si>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</si>
  <si>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</si>
  <si>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</si>
  <si>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</si>
  <si>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</si>
  <si>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合計次數</t>
    <phoneticPr fontId="4" type="noConversion"/>
  </si>
  <si>
    <t>設備次數</t>
    <phoneticPr fontId="3" type="noConversion"/>
  </si>
  <si>
    <t>➁4度C-各編組展開</t>
    <phoneticPr fontId="3" type="noConversion"/>
  </si>
  <si>
    <t>編組</t>
    <phoneticPr fontId="3" type="noConversion"/>
  </si>
  <si>
    <t>實績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</si>
  <si>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</si>
  <si>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</si>
  <si>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</si>
  <si>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</si>
  <si>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</si>
  <si>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</si>
  <si>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</si>
  <si>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</si>
  <si>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</si>
  <si>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</si>
  <si>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</si>
  <si>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</si>
  <si>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</si>
  <si>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</si>
  <si>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</si>
  <si>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</si>
  <si>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</si>
  <si>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</si>
  <si>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</si>
  <si>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</si>
  <si>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</si>
  <si>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</si>
  <si>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</si>
  <si>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</si>
  <si>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</si>
  <si>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</si>
  <si>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</si>
  <si>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</si>
  <si>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</si>
  <si>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</si>
  <si>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</si>
  <si>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</si>
  <si>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</si>
  <si>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</si>
  <si>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</si>
  <si>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</si>
  <si>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</si>
  <si>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</si>
  <si>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</si>
  <si>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</si>
  <si>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</si>
  <si>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</si>
  <si>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</si>
  <si>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</si>
  <si>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</si>
  <si>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</si>
  <si>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</si>
  <si>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</si>
  <si>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</si>
  <si>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</si>
  <si>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</si>
  <si>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</si>
  <si>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</si>
  <si>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</si>
  <si>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</si>
  <si>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</si>
  <si>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</si>
  <si>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</si>
  <si>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</si>
  <si>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</si>
  <si>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</si>
  <si>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</si>
  <si>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</si>
  <si>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</si>
  <si>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</si>
  <si>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</si>
  <si>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</si>
  <si>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</si>
  <si>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</si>
  <si>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</si>
  <si>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</si>
  <si>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</si>
  <si>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</si>
  <si>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</si>
  <si>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</si>
  <si>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</si>
  <si>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</si>
  <si>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</si>
  <si>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</si>
  <si>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</si>
  <si>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</si>
  <si>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</si>
  <si>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</si>
  <si>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</si>
  <si>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</si>
  <si>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</si>
  <si>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</si>
  <si>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</si>
  <si>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</si>
  <si>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</si>
  <si>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</si>
  <si>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</si>
  <si>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</si>
  <si>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</si>
  <si>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</si>
  <si>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</si>
  <si>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</si>
  <si>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</si>
  <si>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</si>
  <si>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</si>
  <si>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</si>
  <si>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</si>
  <si>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</si>
  <si>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</si>
  <si>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</si>
  <si>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</si>
  <si>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</si>
  <si>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</si>
  <si>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</si>
  <si>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</si>
  <si>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</si>
  <si>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</si>
  <si>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</si>
  <si>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</si>
  <si>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</si>
  <si>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</si>
  <si>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</si>
  <si>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</si>
  <si>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</si>
  <si>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</si>
  <si>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</si>
  <si>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</si>
  <si>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</si>
  <si>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</si>
  <si>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</si>
  <si>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</si>
  <si>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</si>
  <si>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</si>
  <si>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</si>
  <si>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</si>
  <si>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</si>
  <si>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</si>
  <si>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</si>
  <si>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</si>
  <si>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</si>
  <si>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</si>
  <si>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</si>
  <si>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</si>
  <si>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</si>
  <si>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</si>
  <si>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</si>
  <si>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</si>
  <si>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</si>
  <si>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</si>
  <si>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</si>
  <si>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</si>
  <si>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</si>
  <si>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</si>
  <si>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</si>
  <si>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</si>
  <si>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</si>
  <si>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</si>
  <si>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</si>
  <si>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</si>
  <si>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</si>
  <si>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</si>
  <si>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</si>
  <si>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</si>
  <si>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</si>
  <si>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</si>
  <si>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</si>
  <si>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</si>
  <si>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新豐4線</t>
    <phoneticPr fontId="4" type="noConversion"/>
  </si>
  <si>
    <t>新豐4線</t>
    <phoneticPr fontId="4" type="noConversion"/>
  </si>
  <si>
    <t>訂單量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</si>
  <si>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</si>
  <si>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</si>
  <si>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</si>
  <si>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合計次數</t>
    <phoneticPr fontId="4" type="noConversion"/>
  </si>
  <si>
    <t>➁4度C-各編組展開</t>
    <phoneticPr fontId="3" type="noConversion"/>
  </si>
  <si>
    <t>作業
時間</t>
    <phoneticPr fontId="3" type="noConversion"/>
  </si>
  <si>
    <t>三明治包裝機</t>
    <phoneticPr fontId="4" type="noConversion"/>
  </si>
  <si>
    <t>圓盤機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</si>
  <si>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</si>
  <si>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</si>
  <si>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</si>
  <si>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</si>
  <si>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</si>
  <si>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</si>
  <si>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</si>
  <si>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</si>
  <si>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</si>
  <si>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</si>
  <si>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</si>
  <si>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</si>
  <si>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</si>
  <si>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</si>
  <si>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</si>
  <si>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</si>
  <si>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</si>
  <si>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</si>
  <si>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</si>
  <si>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</si>
  <si>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</si>
  <si>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</si>
  <si>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</si>
  <si>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</si>
  <si>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</si>
  <si>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</si>
  <si>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</si>
  <si>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</si>
  <si>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</si>
  <si>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</si>
  <si>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</si>
  <si>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</si>
  <si>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</si>
  <si>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</si>
  <si>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</si>
  <si>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</si>
  <si>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</si>
  <si>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</si>
  <si>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</si>
  <si>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</si>
  <si>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</si>
  <si>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</si>
  <si>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</si>
  <si>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</si>
  <si>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</si>
  <si>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韓式泡菜豬肉豆腐丼飯</t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</si>
  <si>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</si>
  <si>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</si>
  <si>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</si>
  <si>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</si>
  <si>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</si>
  <si>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</si>
  <si>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</si>
  <si>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</si>
  <si>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</si>
  <si>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</si>
  <si>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</si>
  <si>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</si>
  <si>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</si>
  <si>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</si>
  <si>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</si>
  <si>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</si>
  <si>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</si>
  <si>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</si>
  <si>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</si>
  <si>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</si>
  <si>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</si>
  <si>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</si>
  <si>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</si>
  <si>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</si>
  <si>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</si>
  <si>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</si>
  <si>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</si>
  <si>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</si>
  <si>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</si>
  <si>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</si>
  <si>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</si>
  <si>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</si>
  <si>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</si>
  <si>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</si>
  <si>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</si>
  <si>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</si>
  <si>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</si>
  <si>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</si>
  <si>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</si>
  <si>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</si>
  <si>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</si>
  <si>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共用L型包裝機</t>
    <phoneticPr fontId="4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</si>
  <si>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</si>
  <si>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</si>
  <si>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</si>
  <si>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</si>
  <si>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</si>
  <si>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</si>
  <si>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</si>
  <si>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</si>
  <si>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</si>
  <si>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</si>
  <si>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廠價</t>
    <phoneticPr fontId="7" type="noConversion"/>
  </si>
  <si>
    <t>產能/時</t>
    <phoneticPr fontId="4" type="noConversion"/>
  </si>
  <si>
    <t>人數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</si>
  <si>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</si>
  <si>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</si>
  <si>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</si>
  <si>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</si>
  <si>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</si>
  <si>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</si>
  <si>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</si>
  <si>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</si>
  <si>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</si>
  <si>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</si>
  <si>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</si>
  <si>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</si>
  <si>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</si>
  <si>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</si>
  <si>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</si>
  <si>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</si>
  <si>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</si>
  <si>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</si>
  <si>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</si>
  <si>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</si>
  <si>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</si>
  <si>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</si>
  <si>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</si>
  <si>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</si>
  <si>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</si>
  <si>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</si>
  <si>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</si>
  <si>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</si>
  <si>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</si>
  <si>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</si>
  <si>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</si>
  <si>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</si>
  <si>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</si>
  <si>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</si>
  <si>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</si>
  <si>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</si>
  <si>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</si>
  <si>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</si>
  <si>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</si>
  <si>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</si>
  <si>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</si>
  <si>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</si>
  <si>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</si>
  <si>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</si>
  <si>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</si>
  <si>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</si>
  <si>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</si>
  <si>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</si>
  <si>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</si>
  <si>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</si>
  <si>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</si>
  <si>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</si>
  <si>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</si>
  <si>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</si>
  <si>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</si>
  <si>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</si>
  <si>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</si>
  <si>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</si>
  <si>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</si>
  <si>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</si>
  <si>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</si>
  <si>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</si>
  <si>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</si>
  <si>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</si>
  <si>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</si>
  <si>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</si>
  <si>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</si>
  <si>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</si>
  <si>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</si>
  <si>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</si>
  <si>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</si>
  <si>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</si>
  <si>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</si>
  <si>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</si>
  <si>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</si>
  <si>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</si>
  <si>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</si>
  <si>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</si>
  <si>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</si>
  <si>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</si>
  <si>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</si>
  <si>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</si>
  <si>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</si>
  <si>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</si>
  <si>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</si>
  <si>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</si>
  <si>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</si>
  <si>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</si>
  <si>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</si>
  <si>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</si>
  <si>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</si>
  <si>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</si>
  <si>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</si>
  <si>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</si>
  <si>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</si>
  <si>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</si>
  <si>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</si>
  <si>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</si>
  <si>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</si>
  <si>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</si>
  <si>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</si>
  <si>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</si>
  <si>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</si>
  <si>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</si>
  <si>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</si>
  <si>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</si>
  <si>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</si>
  <si>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</si>
  <si>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</si>
  <si>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</si>
  <si>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</si>
  <si>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</si>
  <si>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</si>
  <si>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</si>
  <si>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</si>
  <si>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</si>
  <si>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</si>
  <si>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</si>
  <si>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</si>
  <si>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</si>
  <si>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</si>
  <si>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</si>
  <si>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</si>
  <si>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</si>
  <si>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</si>
  <si>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</si>
  <si>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</si>
  <si>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</si>
  <si>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</si>
  <si>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</si>
  <si>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</si>
  <si>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</si>
  <si>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</si>
  <si>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</si>
  <si>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</si>
  <si>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</si>
  <si>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</si>
  <si>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</si>
  <si>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</si>
  <si>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</si>
  <si>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</si>
  <si>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</si>
  <si>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</si>
  <si>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</si>
  <si>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</si>
  <si>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</si>
  <si>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</si>
  <si>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</si>
  <si>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</si>
  <si>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</si>
  <si>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</si>
  <si>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</si>
  <si>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</si>
  <si>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</si>
  <si>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</si>
  <si>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</si>
  <si>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</si>
  <si>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</si>
  <si>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</si>
  <si>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</si>
  <si>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</si>
  <si>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</si>
  <si>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</si>
  <si>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</si>
  <si>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</si>
  <si>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</si>
  <si>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</si>
  <si>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</si>
  <si>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</si>
  <si>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</si>
  <si>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</si>
  <si>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</si>
  <si>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</si>
  <si>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</si>
  <si>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</si>
  <si>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</si>
  <si>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</si>
  <si>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</si>
  <si>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</si>
  <si>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</si>
  <si>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</si>
  <si>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</si>
  <si>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</si>
  <si>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</si>
  <si>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</si>
  <si>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</si>
  <si>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</si>
  <si>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</si>
  <si>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</si>
  <si>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</si>
  <si>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</si>
  <si>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</si>
  <si>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</si>
  <si>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</si>
  <si>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</si>
  <si>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</si>
  <si>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</si>
  <si>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</si>
  <si>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</si>
  <si>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</si>
  <si>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</si>
  <si>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</si>
  <si>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</si>
  <si>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</si>
  <si>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</si>
  <si>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</si>
  <si>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</si>
  <si>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</si>
  <si>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</si>
  <si>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</si>
  <si>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</si>
  <si>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</si>
  <si>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</si>
  <si>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</si>
  <si>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</si>
  <si>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</si>
  <si>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</si>
  <si>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</si>
  <si>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</si>
  <si>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</si>
  <si>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</si>
  <si>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</si>
  <si>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</si>
  <si>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</si>
  <si>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</si>
  <si>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</si>
  <si>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</si>
  <si>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</si>
  <si>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</si>
  <si>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</si>
  <si>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</si>
  <si>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</si>
  <si>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</si>
  <si>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</si>
  <si>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</si>
  <si>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</si>
  <si>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</si>
  <si>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</si>
  <si>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</si>
  <si>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</si>
  <si>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</si>
  <si>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</si>
  <si>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</si>
  <si>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</si>
  <si>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➁</t>
    <phoneticPr fontId="4" type="noConversion"/>
  </si>
  <si>
    <t>組合室</t>
    <phoneticPr fontId="3" type="noConversion"/>
  </si>
  <si>
    <t>全溫層</t>
    <phoneticPr fontId="3" type="noConversion"/>
  </si>
  <si>
    <t>時間</t>
    <phoneticPr fontId="3" type="noConversion"/>
  </si>
  <si>
    <t>合計次數</t>
    <phoneticPr fontId="4" type="noConversion"/>
  </si>
  <si>
    <t>達成率</t>
    <phoneticPr fontId="3" type="noConversion"/>
  </si>
  <si>
    <t>開始</t>
    <phoneticPr fontId="3" type="noConversion"/>
  </si>
  <si>
    <t>L型包裝機</t>
    <phoneticPr fontId="4" type="noConversion"/>
  </si>
  <si>
    <t>握沙拉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</si>
  <si>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</si>
  <si>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</si>
  <si>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</si>
  <si>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</si>
  <si>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</si>
  <si>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</si>
  <si>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</si>
  <si>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</si>
  <si>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</si>
  <si>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</si>
  <si>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</si>
  <si>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</si>
  <si>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</si>
  <si>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</si>
  <si>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</si>
  <si>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</si>
  <si>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</si>
  <si>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</si>
  <si>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</si>
  <si>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</si>
  <si>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</si>
  <si>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</si>
  <si>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</si>
  <si>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</si>
  <si>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</si>
  <si>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</si>
  <si>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</si>
  <si>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</si>
  <si>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</si>
  <si>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</si>
  <si>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</si>
  <si>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</si>
  <si>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</si>
  <si>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</si>
  <si>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</si>
  <si>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</si>
  <si>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</si>
  <si>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</si>
  <si>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</si>
  <si>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</si>
  <si>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</si>
  <si>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</si>
  <si>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</si>
  <si>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</si>
  <si>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</si>
  <si>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</si>
  <si>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</si>
  <si>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</si>
  <si>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</si>
  <si>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</si>
  <si>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</si>
  <si>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</si>
  <si>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</si>
  <si>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</si>
  <si>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</si>
  <si>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</si>
  <si>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</si>
  <si>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</si>
  <si>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</si>
  <si>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</si>
  <si>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</si>
  <si>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</si>
  <si>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</si>
  <si>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</si>
  <si>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</si>
  <si>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</si>
  <si>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</si>
  <si>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</si>
  <si>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</si>
  <si>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</si>
  <si>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</si>
  <si>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</si>
  <si>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</si>
  <si>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</si>
  <si>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</si>
  <si>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</si>
  <si>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</si>
  <si>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</si>
  <si>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</si>
  <si>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</si>
  <si>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</si>
  <si>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</si>
  <si>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</si>
  <si>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</si>
  <si>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</si>
  <si>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</si>
  <si>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</si>
  <si>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</si>
  <si>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</si>
  <si>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</si>
  <si>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</si>
  <si>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</si>
  <si>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</si>
  <si>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</si>
  <si>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</si>
  <si>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</si>
  <si>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</si>
  <si>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</si>
  <si>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</si>
  <si>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</si>
  <si>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</si>
  <si>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</si>
  <si>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</si>
  <si>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</si>
  <si>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</si>
  <si>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</si>
  <si>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</si>
  <si>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</si>
  <si>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</si>
  <si>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</si>
  <si>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</si>
  <si>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</si>
  <si>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</si>
  <si>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</si>
  <si>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</si>
  <si>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</si>
  <si>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</si>
  <si>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</si>
  <si>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</si>
  <si>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</si>
  <si>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</si>
  <si>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</si>
  <si>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</si>
  <si>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</si>
  <si>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</si>
  <si>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</si>
  <si>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</si>
  <si>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</si>
  <si>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</si>
  <si>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</si>
  <si>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</si>
  <si>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</si>
  <si>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</si>
  <si>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</si>
  <si>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</si>
  <si>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</si>
  <si>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</si>
  <si>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</si>
  <si>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</si>
  <si>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</si>
  <si>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</si>
  <si>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</si>
  <si>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</si>
  <si>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</si>
  <si>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</si>
  <si>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</si>
  <si>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</si>
  <si>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</si>
  <si>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</si>
  <si>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</si>
  <si>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</si>
  <si>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</si>
  <si>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</si>
  <si>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</si>
  <si>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</si>
  <si>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</si>
  <si>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</si>
  <si>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</si>
  <si>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</si>
  <si>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</si>
  <si>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</si>
  <si>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</si>
  <si>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</si>
  <si>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</si>
  <si>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</si>
  <si>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</si>
  <si>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</si>
  <si>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</si>
  <si>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</si>
  <si>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</si>
  <si>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</si>
  <si>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</si>
  <si>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</si>
  <si>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</si>
  <si>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</si>
  <si>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</si>
  <si>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</si>
  <si>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</si>
  <si>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</si>
  <si>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</si>
  <si>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</si>
  <si>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</si>
  <si>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</si>
  <si>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</si>
  <si>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</si>
  <si>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</si>
  <si>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</si>
  <si>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</si>
  <si>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</si>
  <si>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</si>
  <si>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</si>
  <si>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</si>
  <si>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</si>
  <si>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</si>
  <si>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</si>
  <si>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</si>
  <si>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</si>
  <si>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</si>
  <si>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</si>
  <si>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</si>
  <si>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產線異常
(5分鐘以上)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</si>
  <si>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</si>
  <si>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</si>
  <si>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</si>
  <si>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</si>
  <si>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</si>
  <si>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</si>
  <si>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</si>
  <si>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</si>
  <si>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</si>
  <si>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</si>
  <si>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</si>
  <si>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</si>
  <si>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</si>
  <si>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</si>
  <si>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</si>
  <si>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</si>
  <si>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</si>
  <si>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</si>
  <si>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</si>
  <si>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</si>
  <si>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</si>
  <si>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</si>
  <si>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</si>
  <si>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</si>
  <si>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</si>
  <si>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</si>
  <si>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</si>
  <si>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</si>
  <si>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</si>
  <si>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</si>
  <si>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</si>
  <si>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</si>
  <si>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</si>
  <si>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</si>
  <si>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</si>
  <si>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</si>
  <si>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</si>
  <si>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</si>
  <si>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</si>
  <si>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</si>
  <si>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</si>
  <si>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</si>
  <si>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</si>
  <si>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</si>
  <si>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</si>
  <si>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</si>
  <si>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</si>
  <si>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</si>
  <si>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</si>
  <si>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</si>
  <si>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</si>
  <si>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</si>
  <si>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</si>
  <si>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</si>
  <si>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</si>
  <si>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</si>
  <si>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</si>
  <si>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</si>
  <si>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</si>
  <si>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</si>
  <si>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</si>
  <si>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</si>
  <si>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</si>
  <si>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</si>
  <si>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</si>
  <si>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</si>
  <si>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</si>
  <si>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</si>
  <si>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</si>
  <si>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</si>
  <si>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</si>
  <si>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</si>
  <si>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</si>
  <si>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</si>
  <si>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</si>
  <si>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</si>
  <si>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</si>
  <si>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</si>
  <si>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</si>
  <si>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</si>
  <si>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</si>
  <si>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</si>
  <si>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</si>
  <si>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</si>
  <si>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</si>
  <si>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</si>
  <si>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</si>
  <si>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</si>
  <si>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</si>
  <si>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</si>
  <si>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</si>
  <si>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</si>
  <si>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</si>
  <si>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</si>
  <si>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</si>
  <si>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</si>
  <si>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</si>
  <si>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</si>
  <si>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</si>
  <si>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</si>
  <si>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</si>
  <si>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</si>
  <si>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</si>
  <si>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</si>
  <si>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</si>
  <si>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</si>
  <si>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</si>
  <si>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</si>
  <si>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</si>
  <si>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</si>
  <si>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</si>
  <si>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</si>
  <si>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</si>
  <si>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</si>
  <si>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</si>
  <si>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</si>
  <si>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</si>
  <si>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</si>
  <si>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</si>
  <si>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</si>
  <si>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</si>
  <si>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</si>
  <si>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</si>
  <si>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</si>
  <si>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</si>
  <si>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</si>
  <si>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</si>
  <si>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</si>
  <si>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</si>
  <si>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</si>
  <si>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</si>
  <si>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</si>
  <si>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</si>
  <si>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</si>
  <si>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</si>
  <si>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</si>
  <si>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</si>
  <si>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</si>
  <si>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</si>
  <si>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</si>
  <si>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</si>
  <si>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</si>
  <si>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</si>
  <si>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</si>
  <si>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</si>
  <si>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</si>
  <si>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</si>
  <si>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</si>
  <si>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新豐4線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</si>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</sst>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7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Border="1" applyAlignment="1">
      <alignment horizontal="left" vertical="center"/>
    </xf>
    <xf numFmtId="176" fontId="2" fillId="0" borderId="6" xfId="1" applyNumberFormat="1" applyFont="1" applyBorder="1">
      <alignment vertical="center"/>
    </xf>
    <xf numFmtId="0" fontId="6" fillId="0" borderId="1" xfId="1" applyFont="1" applyBorder="1" applyAlignment="1">
      <alignment horizontal="center"/>
    </xf>
    <xf numFmtId="0" fontId="6" fillId="0" borderId="1" xfId="1" applyFont="1" applyBorder="1" applyAlignment="1"/>
    <xf numFmtId="0" fontId="6" fillId="0" borderId="6" xfId="1" applyFont="1" applyBorder="1" applyAlignment="1"/>
    <xf numFmtId="3" fontId="6" fillId="0" borderId="1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11" fillId="0" borderId="0" xfId="1" applyFont="1">
      <alignment vertical="center"/>
    </xf>
    <xf numFmtId="0" fontId="10" fillId="0" borderId="4" xfId="2" applyFont="1" applyBorder="1" applyAlignment="1">
      <alignment horizontal="center" vertical="center" wrapText="1"/>
    </xf>
    <xf numFmtId="0" fontId="16" fillId="0" borderId="0" xfId="5" applyFont="1">
      <alignment vertical="center"/>
    </xf>
    <xf numFmtId="0" fontId="6" fillId="0" borderId="0" xfId="5" applyFo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>
      <alignment vertical="center"/>
    </xf>
    <xf numFmtId="0" fontId="24" fillId="0" borderId="0" xfId="6" applyFo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Border="1" applyAlignment="1">
      <alignment horizontal="center" vertical="center" wrapText="1"/>
    </xf>
    <xf numFmtId="177" fontId="6" fillId="0" borderId="32" xfId="5" applyNumberFormat="1" applyFont="1" applyBorder="1" applyAlignment="1">
      <alignment horizontal="center" vertical="center" wrapText="1"/>
    </xf>
    <xf numFmtId="177" fontId="6" fillId="0" borderId="27" xfId="5" applyNumberFormat="1" applyFont="1" applyBorder="1" applyAlignment="1">
      <alignment horizontal="center" vertical="center" wrapText="1"/>
    </xf>
    <xf numFmtId="177" fontId="6" fillId="0" borderId="28" xfId="5" applyNumberFormat="1" applyFont="1" applyBorder="1" applyAlignment="1">
      <alignment horizontal="center" vertical="center" wrapText="1"/>
    </xf>
    <xf numFmtId="177" fontId="6" fillId="0" borderId="33" xfId="5" applyNumberFormat="1" applyFont="1" applyBorder="1" applyAlignment="1">
      <alignment horizontal="center" vertical="center" wrapText="1"/>
    </xf>
    <xf numFmtId="177" fontId="6" fillId="0" borderId="34" xfId="5" applyNumberFormat="1" applyFont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Border="1" applyAlignment="1">
      <alignment horizontal="center" vertical="center"/>
    </xf>
    <xf numFmtId="177" fontId="26" fillId="0" borderId="27" xfId="5" applyNumberFormat="1" applyFont="1" applyBorder="1" applyAlignment="1">
      <alignment horizontal="center" vertical="center"/>
    </xf>
    <xf numFmtId="177" fontId="26" fillId="0" borderId="28" xfId="5" applyNumberFormat="1" applyFont="1" applyBorder="1" applyAlignment="1">
      <alignment horizontal="center" vertical="center"/>
    </xf>
    <xf numFmtId="177" fontId="26" fillId="0" borderId="33" xfId="5" applyNumberFormat="1" applyFont="1" applyBorder="1" applyAlignment="1">
      <alignment horizontal="center" vertical="center"/>
    </xf>
    <xf numFmtId="177" fontId="26" fillId="0" borderId="34" xfId="5" applyNumberFormat="1" applyFont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Border="1" applyAlignment="1">
      <alignment horizontal="center" vertical="center"/>
    </xf>
    <xf numFmtId="181" fontId="6" fillId="0" borderId="1" xfId="6" applyNumberFormat="1" applyFont="1" applyBorder="1" applyAlignment="1">
      <alignment horizontal="center" vertical="center"/>
    </xf>
    <xf numFmtId="181" fontId="6" fillId="0" borderId="30" xfId="6" applyNumberFormat="1" applyFont="1" applyBorder="1" applyAlignment="1">
      <alignment horizontal="center" vertical="center"/>
    </xf>
    <xf numFmtId="181" fontId="6" fillId="0" borderId="37" xfId="9" applyNumberFormat="1" applyFont="1" applyBorder="1" applyAlignment="1">
      <alignment horizontal="center" vertical="center"/>
    </xf>
    <xf numFmtId="181" fontId="6" fillId="0" borderId="1" xfId="9" applyNumberFormat="1" applyFont="1" applyBorder="1" applyAlignment="1">
      <alignment horizontal="center" vertical="center"/>
    </xf>
    <xf numFmtId="181" fontId="6" fillId="0" borderId="30" xfId="9" applyNumberFormat="1" applyFont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Border="1" applyAlignment="1">
      <alignment horizontal="center" vertical="center"/>
    </xf>
    <xf numFmtId="1" fontId="6" fillId="0" borderId="2" xfId="5" applyNumberFormat="1" applyFont="1" applyBorder="1" applyAlignment="1">
      <alignment horizontal="center" vertical="center"/>
    </xf>
    <xf numFmtId="1" fontId="6" fillId="0" borderId="41" xfId="5" applyNumberFormat="1" applyFont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5" xfId="1" applyFont="1" applyBorder="1" applyAlignment="1"/>
    <xf numFmtId="0" fontId="6" fillId="0" borderId="6" xfId="1" applyFont="1" applyBorder="1" applyAlignment="1"/>
    <xf numFmtId="0" fontId="6" fillId="2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0" borderId="5" xfId="3" applyFont="1" applyBorder="1" applyAlignment="1">
      <alignment horizontal="left"/>
    </xf>
    <xf numFmtId="0" fontId="6" fillId="0" borderId="6" xfId="3" applyFont="1" applyBorder="1" applyAlignment="1">
      <alignment horizontal="left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left"/>
    </xf>
    <xf numFmtId="0" fontId="6" fillId="0" borderId="6" xfId="1" applyFont="1" applyBorder="1" applyAlignment="1">
      <alignment horizontal="left"/>
    </xf>
  </cellXfs>
  <cellStyles count="10">
    <cellStyle name="一般" xfId="0" builtinId="0"/>
    <cellStyle name="一般 2 17 2" xfId="8" xr:uid="{00000000-0005-0000-0000-000001000000}"/>
    <cellStyle name="一般 2 2 2" xfId="6" xr:uid="{00000000-0005-0000-0000-000002000000}"/>
    <cellStyle name="一般 2 2 29" xfId="9" xr:uid="{00000000-0005-0000-0000-000003000000}"/>
    <cellStyle name="一般 2 2 7" xfId="1" xr:uid="{00000000-0005-0000-0000-000004000000}"/>
    <cellStyle name="一般 2 4" xfId="3" xr:uid="{00000000-0005-0000-0000-000005000000}"/>
    <cellStyle name="一般 2 8" xfId="2" xr:uid="{00000000-0005-0000-0000-000006000000}"/>
    <cellStyle name="一般 3" xfId="5" xr:uid="{00000000-0005-0000-0000-000007000000}"/>
    <cellStyle name="千分位 2" xfId="7" xr:uid="{00000000-0005-0000-0000-000008000000}"/>
    <cellStyle name="百分比 2" xfId="4" xr:uid="{00000000-0005-0000-0000-000009000000}"/>
  </cellStyles>
  <dxfs count="268"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2"/>
  <sheetViews>
    <sheetView tabSelected="1" zoomScale="85" zoomScaleNormal="85" workbookViewId="0">
      <selection activeCell="I3" sqref="I3:J3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2694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2695</v>
      </c>
      <c r="C3" s="151" t="str">
        <f>TEXT('0331 4度C'!A2,"yyyy.mm.ddaaaa")</f>
        <v>2026.03.31星期二</v>
      </c>
      <c r="D3" s="152"/>
      <c r="E3" s="45" t="s">
        <v>2696</v>
      </c>
      <c r="F3" s="153">
        <f>'0331 4度C'!D1</f>
        <v>165261</v>
      </c>
      <c r="G3" s="154"/>
      <c r="H3" s="45" t="s">
        <v>2697</v>
      </c>
      <c r="I3" s="155">
        <f>'0331 4度C'!F1</f>
        <v>5479936.7200000007</v>
      </c>
      <c r="J3" s="156"/>
      <c r="K3" s="46"/>
      <c r="L3" s="47"/>
      <c r="M3" s="47"/>
      <c r="N3" s="47"/>
    </row>
    <row r="4" spans="2:17" ht="28.5" customHeight="1">
      <c r="B4" s="157" t="s">
        <v>2698</v>
      </c>
      <c r="C4" s="143" t="s">
        <v>2699</v>
      </c>
      <c r="D4" s="144"/>
      <c r="E4" s="160" t="s">
        <v>2700</v>
      </c>
      <c r="F4" s="161"/>
      <c r="G4" s="160" t="s">
        <v>2701</v>
      </c>
      <c r="H4" s="161"/>
      <c r="I4" s="160" t="s">
        <v>2702</v>
      </c>
      <c r="J4" s="161"/>
      <c r="K4" s="141" t="s">
        <v>2703</v>
      </c>
      <c r="L4" s="142"/>
      <c r="M4" s="142" t="s">
        <v>2704</v>
      </c>
      <c r="N4" s="142"/>
    </row>
    <row r="5" spans="2:17" ht="28.5" customHeight="1">
      <c r="B5" s="158"/>
      <c r="C5" s="143" t="s">
        <v>2705</v>
      </c>
      <c r="D5" s="144"/>
      <c r="E5" s="143" t="s">
        <v>2706</v>
      </c>
      <c r="F5" s="144"/>
      <c r="G5" s="145" t="s">
        <v>2707</v>
      </c>
      <c r="H5" s="146"/>
      <c r="I5" s="147" t="s">
        <v>2708</v>
      </c>
      <c r="J5" s="148"/>
      <c r="K5" s="48" t="s">
        <v>2709</v>
      </c>
      <c r="L5" s="49" t="s">
        <v>2710</v>
      </c>
      <c r="M5" s="48" t="s">
        <v>2709</v>
      </c>
      <c r="N5" s="49" t="s">
        <v>2711</v>
      </c>
    </row>
    <row r="6" spans="2:17" ht="28.5" customHeight="1">
      <c r="B6" s="158"/>
      <c r="C6" s="143" t="s">
        <v>153</v>
      </c>
      <c r="D6" s="144"/>
      <c r="E6" s="135">
        <f>AVERAGE(D13:M13)</f>
        <v>155.66760726461803</v>
      </c>
      <c r="F6" s="136">
        <f>AVERAGE(D31:O31,D13:J13)</f>
        <v>161.87503192790444</v>
      </c>
      <c r="G6" s="137">
        <f>AVERAGE(D13:J13)</f>
        <v>161.87503192790444</v>
      </c>
      <c r="H6" s="138"/>
      <c r="I6" s="137">
        <f>AVERAGE(K13:M13)</f>
        <v>141.1836163836164</v>
      </c>
      <c r="J6" s="138"/>
      <c r="K6" s="139">
        <f>'0331 4度C'!Y2</f>
        <v>0</v>
      </c>
      <c r="L6" s="124">
        <f>'0331 4度C'!Z2</f>
        <v>0</v>
      </c>
      <c r="M6" s="140">
        <f>'0331 4度C'!AC2</f>
        <v>54</v>
      </c>
      <c r="N6" s="124">
        <f>'0331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148.95757334686613</v>
      </c>
      <c r="F7" s="128">
        <f>AVERAGE(D32:O32,D14:J14)</f>
        <v>154.97333209391883</v>
      </c>
      <c r="G7" s="129">
        <f>AVERAGE(D14:J14)</f>
        <v>154.97333209391883</v>
      </c>
      <c r="H7" s="130"/>
      <c r="I7" s="129">
        <f>AVERAGE(K14:M14)</f>
        <v>134.92080293707647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0.95623964512286486</v>
      </c>
      <c r="F8" s="132">
        <f>AVERAGE(D15:J15,D33:O33)</f>
        <v>0.956495139910845</v>
      </c>
      <c r="G8" s="133">
        <f>AVERAGE(D15:J15)</f>
        <v>0.956495139910845</v>
      </c>
      <c r="H8" s="134"/>
      <c r="I8" s="133">
        <f>AVERAGE(K15:M15)</f>
        <v>0.95564349061757803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2712</v>
      </c>
      <c r="N9" s="47"/>
      <c r="O9" s="47"/>
      <c r="P9" s="47"/>
      <c r="Q9" s="47"/>
    </row>
    <row r="10" spans="2:17" ht="30" customHeight="1">
      <c r="B10" s="107" t="s">
        <v>2713</v>
      </c>
      <c r="C10" s="108"/>
      <c r="D10" s="109" t="s">
        <v>2714</v>
      </c>
      <c r="E10" s="110"/>
      <c r="F10" s="110"/>
      <c r="G10" s="110"/>
      <c r="H10" s="110"/>
      <c r="I10" s="110"/>
      <c r="J10" s="111"/>
      <c r="K10" s="112" t="s">
        <v>2715</v>
      </c>
      <c r="L10" s="113"/>
      <c r="M10" s="114"/>
      <c r="P10" s="53"/>
      <c r="Q10" s="53"/>
    </row>
    <row r="11" spans="2:17" ht="17.25" customHeight="1">
      <c r="B11" s="115" t="s">
        <v>2716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2717</v>
      </c>
      <c r="C13" s="60" t="s">
        <v>2718</v>
      </c>
      <c r="D13" s="61">
        <f>SUMIFS('0331 4度C'!$K:$K,'0331 4度C'!$A:$A,"新豐6線",'0331 4度C'!$B:$B,"平均")</f>
        <v>111.11111111111111</v>
      </c>
      <c r="E13" s="62">
        <f>SUMIFS('0331 4度C'!$K:$K,'0331 4度C'!$A:$A,"新豐2線",'0331 4度C'!$B:$B,"平均")</f>
        <v>84.905660377358487</v>
      </c>
      <c r="F13" s="63">
        <f>SUMIFS('0331 4度C'!$K:$K,'0331 4度C'!$A:$A,"新豐5線",'0331 4度C'!$B:$B,"平均")</f>
        <v>102.73972602739725</v>
      </c>
      <c r="G13" s="63">
        <f>SUMIFS('0331 4度C'!$K:$K,'0331 4度C'!$A:$A,"新豐7線",'0331 4度C'!$B:$B,"平均")</f>
        <v>127.77777777777779</v>
      </c>
      <c r="H13" s="63">
        <f>SUMIFS('0331 4度C'!$K:$K,'0331 4度C'!$A:$A,"新豐3線",'0331 4度C'!$B:$B,"平均")</f>
        <v>333.33333333333331</v>
      </c>
      <c r="I13" s="63">
        <f>SUMIFS('0331 4度C'!$K:$K,'0331 4度C'!$A:$A,"新豐1線",'0331 4度C'!$B:$B,"平均")</f>
        <v>104.02684563758389</v>
      </c>
      <c r="J13" s="64">
        <f>SUMIFS('0331 4度C'!$K:$K,'0331 4度C'!$A:$A,"新豐10線",'0331 4度C'!$B:$B,"平均")</f>
        <v>269.23076923076923</v>
      </c>
      <c r="K13" s="65">
        <f>SUMIFS('0331 4度C'!$K:$K,'0331 4度C'!$A:$A,"新豐8線",'0331 4度C'!$B:$B,"平均")</f>
        <v>130.90909090909091</v>
      </c>
      <c r="L13" s="66">
        <f>SUMIFS('0331 4度C'!$K:$K,'0331 4度C'!$A:$A,"新豐9線",'0331 4度C'!$B:$B,"平均")</f>
        <v>134.4</v>
      </c>
      <c r="M13" s="64">
        <f>SUMIFS('0331 4度C'!$K:$K,'0331 4度C'!$A:$A,"新豐4線",'0331 4度C'!$B:$B,"平均")</f>
        <v>158.24175824175825</v>
      </c>
    </row>
    <row r="14" spans="2:17" ht="39.6" customHeight="1">
      <c r="B14" s="120"/>
      <c r="C14" s="67" t="s">
        <v>2719</v>
      </c>
      <c r="D14" s="68">
        <f>SUMIFS('0331 4度C'!$N:$N,'0331 4度C'!$A:$A,"新豐6線",'0331 4度C'!$B:$B,"平均")</f>
        <v>105.59434354225989</v>
      </c>
      <c r="E14" s="69">
        <f>SUMIFS('0331 4度C'!$N:$N,'0331 4度C'!$A:$A,"新豐2線",'0331 4度C'!$B:$B,"平均")</f>
        <v>81.063562826198464</v>
      </c>
      <c r="F14" s="69">
        <f>SUMIFS('0331 4度C'!$N:$N,'0331 4度C'!$A:$A,"新豐5線",'0331 4度C'!$B:$B,"平均")</f>
        <v>97.531260298383643</v>
      </c>
      <c r="G14" s="69">
        <f>SUMIFS('0331 4度C'!$N:$N,'0331 4度C'!$A:$A,"新豐7線",'0331 4度C'!$B:$B,"平均")</f>
        <v>122.67097411445243</v>
      </c>
      <c r="H14" s="69">
        <f>SUMIFS('0331 4度C'!$N:$N,'0331 4度C'!$A:$A,"新豐3線",'0331 4度C'!$B:$B,"平均")</f>
        <v>318.8392597951219</v>
      </c>
      <c r="I14" s="69">
        <f>SUMIFS('0331 4度C'!$N:$N,'0331 4度C'!$A:$A,"新豐1線",'0331 4度C'!$B:$B,"平均")</f>
        <v>100.13546101849842</v>
      </c>
      <c r="J14" s="70">
        <f>SUMIFS('0331 4度C'!$N:$N,'0331 4度C'!$A:$A,"新豐10線",'0331 4度C'!$B:$B,"平均")</f>
        <v>258.97846306251711</v>
      </c>
      <c r="K14" s="71">
        <f>SUMIFS('0331 4度C'!$N:$N,'0331 4度C'!$A:$A,"新豐8線",'0331 4度C'!$B:$B,"平均")</f>
        <v>125.032865294993</v>
      </c>
      <c r="L14" s="72">
        <f>SUMIFS('0331 4度C'!$N:$N,'0331 4度C'!$A:$A,"新豐9線",'0331 4度C'!$B:$B,"平均")</f>
        <v>128.52713332538397</v>
      </c>
      <c r="M14" s="70">
        <f>SUMIFS('0331 4度C'!$N:$N,'0331 4度C'!$A:$A,"新豐4線",'0331 4度C'!$B:$B,"平均")</f>
        <v>151.20241019085248</v>
      </c>
    </row>
    <row r="15" spans="2:17" ht="40.15" customHeight="1">
      <c r="B15" s="121"/>
      <c r="C15" s="73" t="s">
        <v>2720</v>
      </c>
      <c r="D15" s="74">
        <f t="shared" ref="D15:M15" si="0">D14/D13</f>
        <v>0.950349091880339</v>
      </c>
      <c r="E15" s="75">
        <f t="shared" si="0"/>
        <v>0.95474862884189304</v>
      </c>
      <c r="F15" s="75">
        <f t="shared" si="0"/>
        <v>0.9493042669042675</v>
      </c>
      <c r="G15" s="75">
        <f t="shared" si="0"/>
        <v>0.960033710460932</v>
      </c>
      <c r="H15" s="75">
        <f t="shared" si="0"/>
        <v>0.95651777938536575</v>
      </c>
      <c r="I15" s="75">
        <f t="shared" si="0"/>
        <v>0.96259249624233967</v>
      </c>
      <c r="J15" s="76">
        <f t="shared" si="0"/>
        <v>0.96192000566077784</v>
      </c>
      <c r="K15" s="74">
        <f t="shared" si="0"/>
        <v>0.95511216544786326</v>
      </c>
      <c r="L15" s="75">
        <f t="shared" si="0"/>
        <v>0.95630307533767833</v>
      </c>
      <c r="M15" s="76">
        <f t="shared" si="0"/>
        <v>0.95551523106719272</v>
      </c>
    </row>
    <row r="16" spans="2:17" ht="17.25" customHeight="1">
      <c r="B16" s="122" t="s">
        <v>175</v>
      </c>
      <c r="C16" s="77" t="s">
        <v>2721</v>
      </c>
      <c r="D16" s="78">
        <f>VLOOKUP("新豐6線",'0331 4度C'!$A:$T,19,0)</f>
        <v>0.70833333333333337</v>
      </c>
      <c r="E16" s="79">
        <f>VLOOKUP("新豐2線",'0331 4度C'!$A:$T,19,0)</f>
        <v>0.20833333333333334</v>
      </c>
      <c r="F16" s="79">
        <f>VLOOKUP("新豐5線",'0331 4度C'!$A:$T,19,0)</f>
        <v>0.20833333333333334</v>
      </c>
      <c r="G16" s="79">
        <f>VLOOKUP("新豐7線",'0331 4度C'!$A:$T,19,0)</f>
        <v>0.20833333333333334</v>
      </c>
      <c r="H16" s="79">
        <f>VLOOKUP("新豐3線",'0331 4度C'!$A:$T,19,0)</f>
        <v>8.3333333333333329E-2</v>
      </c>
      <c r="I16" s="79">
        <f>VLOOKUP("新豐1線",'0331 4度C'!$A:$T,19,0)</f>
        <v>0.20833333333333334</v>
      </c>
      <c r="J16" s="80">
        <f>VLOOKUP("新豐10線",'0331 4度C'!$A:$T,19,0)</f>
        <v>0.20833333333333334</v>
      </c>
      <c r="K16" s="81">
        <f>VLOOKUP("新豐8線",'0331 4度C'!$A:$T,19,0)</f>
        <v>8.3333333333333329E-2</v>
      </c>
      <c r="L16" s="82">
        <f>VLOOKUP("新豐9線",'0331 4度C'!$A:$T,19,0)</f>
        <v>8.3333333333333329E-2</v>
      </c>
      <c r="M16" s="83">
        <f>VLOOKUP("新豐4線",'0331 4度C'!$A:$T,19,0)</f>
        <v>8.3333333333333329E-2</v>
      </c>
    </row>
    <row r="17" spans="2:13" ht="17.25" customHeight="1">
      <c r="B17" s="123"/>
      <c r="C17" s="77" t="s">
        <v>2722</v>
      </c>
      <c r="D17" s="81">
        <f>LOOKUP(2,1/(('0331 4度C'!$A:$A="新豐6線")*('0331 4度C'!$T:$T&lt;&gt;"")),'0331 4度C'!$T:$T)</f>
        <v>0.8256944444444444</v>
      </c>
      <c r="E17" s="79">
        <f>LOOKUP(2,1/(('0331 4度C'!$A:$A="新豐2線")*('0331 4度C'!$T:$T&lt;&gt;"")),'0331 4度C'!$T:$T)</f>
        <v>0.66527777777777775</v>
      </c>
      <c r="F17" s="79">
        <f>LOOKUP(2,1/(('0331 4度C'!$A:$A="新豐5線")*('0331 4度C'!$T:$T&lt;&gt;"")),'0331 4度C'!$T:$T)</f>
        <v>0.82847222222222228</v>
      </c>
      <c r="G17" s="79">
        <f>LOOKUP(2,1/(('0331 4度C'!$A:$A="新豐7線")*('0331 4度C'!$T:$T&lt;&gt;"")),'0331 4度C'!$T:$T)</f>
        <v>0.84374999999999989</v>
      </c>
      <c r="H17" s="79">
        <f>LOOKUP(2,1/(('0331 4度C'!$A:$A="新豐3線")*('0331 4度C'!$T:$T&lt;&gt;"")),'0331 4度C'!$T:$T)</f>
        <v>0.43958333333333333</v>
      </c>
      <c r="I17" s="79">
        <f>LOOKUP(2,1/(('0331 4度C'!$A:$A="新豐1線")*('0331 4度C'!$T:$T&lt;&gt;"")),'0331 4度C'!$T:$T)</f>
        <v>0.90069444444444446</v>
      </c>
      <c r="J17" s="80">
        <f>LOOKUP(2,1/(('0331 4度C'!$A:$A="新豐10線")*('0331 4度C'!$T:$T&lt;&gt;"")),'0331 4度C'!$T:$T)</f>
        <v>0.44374999999999998</v>
      </c>
      <c r="K17" s="78">
        <f>LOOKUP(2,1/(('0331 4度C'!$A:$A="新豐8線")*('0331 4度C'!$T:$T&lt;&gt;"")),'0331 4度C'!$T:$T)</f>
        <v>0.62222222222222212</v>
      </c>
      <c r="L17" s="79">
        <f>LOOKUP(2,1/(('0331 4度C'!$A:$A="新豐9線")*('0331 4度C'!$T:$T&lt;&gt;"")),'0331 4度C'!$T:$T)</f>
        <v>0.63819444444444418</v>
      </c>
      <c r="M17" s="80">
        <f>LOOKUP(2,1/(('0331 4度C'!$A:$A="新豐4線")*('0331 4度C'!$T:$T&lt;&gt;"")),'0331 4度C'!$T:$T)</f>
        <v>0.62361111111111112</v>
      </c>
    </row>
    <row r="18" spans="2:13" ht="17.25" customHeight="1">
      <c r="B18" s="101" t="s">
        <v>2723</v>
      </c>
      <c r="C18" s="84" t="s">
        <v>2724</v>
      </c>
      <c r="D18" s="85">
        <f>SUMIFS('0331 4度C'!$Y:$Y,'0331 4度C'!$A:$A,"新豐6線",'0331 4度C'!$B:$B,"平均")</f>
        <v>0</v>
      </c>
      <c r="E18" s="86">
        <f>SUMIFS('0331 4度C'!$Y:$Y,'0331 4度C'!$A:$A,"新豐2線",'0331 4度C'!$B:$B,"平均")</f>
        <v>0</v>
      </c>
      <c r="F18" s="86">
        <f>SUMIFS('0331 4度C'!$Y:$Y,'0331 4度C'!$A:$A,"新豐5線",'0331 4度C'!$B:$B,"平均")</f>
        <v>0</v>
      </c>
      <c r="G18" s="86">
        <f>SUMIFS('0331 4度C'!$Y:$Y,'0331 4度C'!$A:$A,"新豐7線",'0331 4度C'!$B:$B,"平均")</f>
        <v>0</v>
      </c>
      <c r="H18" s="86">
        <f>SUMIFS('0331 4度C'!$Y:$Y,'0331 4度C'!$A:$A,"新豐3線",'0331 4度C'!$B:$B,"平均")</f>
        <v>0</v>
      </c>
      <c r="I18" s="86">
        <f>SUMIFS('0331 4度C'!$Y:$Y,'0331 4度C'!$A:$A,"新豐1線",'0331 4度C'!$B:$B,"平均")</f>
        <v>0</v>
      </c>
      <c r="J18" s="87">
        <f>SUMIFS('0331 4度C'!$Y:$Y,'0331 4度C'!$A:$A,"新豐10線",'0331 4度C'!$B:$B,"平均")</f>
        <v>0</v>
      </c>
      <c r="K18" s="88">
        <f>SUMIFS('0331 4度C'!$Y:$Y,'0331 4度C'!$A:$A,"新豐8線",'0331 4度C'!$B:$B,"平均")</f>
        <v>0</v>
      </c>
      <c r="L18" s="86">
        <f>SUMIFS('0331 4度C'!$Y:$Y,'0331 4度C'!$A:$A,"新豐9線",'0331 4度C'!$B:$B,"平均")</f>
        <v>0</v>
      </c>
      <c r="M18" s="87">
        <f>SUMIFS('0331 4度C'!$Y:$Y,'0331 4度C'!$A:$A,"新豐4線",'0331 4度C'!$B:$B,"平均")</f>
        <v>0</v>
      </c>
    </row>
    <row r="19" spans="2:13" ht="17.25" customHeight="1">
      <c r="B19" s="102"/>
      <c r="C19" s="84" t="s">
        <v>2725</v>
      </c>
      <c r="D19" s="85">
        <f>SUMIFS('0331 4度C'!$Z:$Z,'0331 4度C'!$A:$A,"新豐6線",'0331 4度C'!$B:$B,"平均")</f>
        <v>0</v>
      </c>
      <c r="E19" s="86">
        <f>SUMIFS('0331 4度C'!$Z:$Z,'0331 4度C'!$A:$A,"新豐2線",'0331 4度C'!$B:$B,"平均")</f>
        <v>0</v>
      </c>
      <c r="F19" s="86">
        <f>SUMIFS('0331 4度C'!$Z:$Z,'0331 4度C'!$A:$A,"新豐5線",'0331 4度C'!$B:$B,"平均")</f>
        <v>0</v>
      </c>
      <c r="G19" s="86">
        <f>SUMIFS('0331 4度C'!$Z:$Z,'0331 4度C'!$A:$A,"新豐7線",'0331 4度C'!$B:$B,"平均")</f>
        <v>0</v>
      </c>
      <c r="H19" s="86">
        <f>SUMIFS('0331 4度C'!$Z:$Z,'0331 4度C'!$A:$A,"新豐3線",'0331 4度C'!$B:$B,"平均")</f>
        <v>0</v>
      </c>
      <c r="I19" s="86">
        <f>SUMIFS('0331 4度C'!$Z:$Z,'0331 4度C'!$A:$A,"新豐1線",'0331 4度C'!$B:$B,"平均")</f>
        <v>0</v>
      </c>
      <c r="J19" s="87">
        <f>SUMIFS('0331 4度C'!$Z:$Z,'0331 4度C'!$A:$A,"新豐10線",'0331 4度C'!$B:$B,"平均")</f>
        <v>0</v>
      </c>
      <c r="K19" s="88">
        <f>SUMIFS('0331 4度C'!$Z:$Z,'0331 4度C'!$A:$A,"新豐8線",'0331 4度C'!$B:$B,"平均")</f>
        <v>0</v>
      </c>
      <c r="L19" s="86">
        <f>SUMIFS('0331 4度C'!$Z:$Z,'0331 4度C'!$A:$A,"新豐9線",'0331 4度C'!$B:$B,"平均")</f>
        <v>0</v>
      </c>
      <c r="M19" s="87">
        <f>SUMIFS('0331 4度C'!$Z:$Z,'0331 4度C'!$A:$A,"新豐4線",'0331 4度C'!$B:$B,"平均")</f>
        <v>0</v>
      </c>
    </row>
    <row r="20" spans="2:13" ht="17.25" customHeight="1">
      <c r="B20" s="101" t="s">
        <v>181</v>
      </c>
      <c r="C20" s="84" t="s">
        <v>2726</v>
      </c>
      <c r="D20" s="85">
        <f>SUMIFS('0331 4度C'!$AC:$AC,'0331 4度C'!$A:$A,"新豐6線",'0331 4度C'!$B:$B,"平均")</f>
        <v>4</v>
      </c>
      <c r="E20" s="86">
        <f>SUMIFS('0331 4度C'!$AC:$AC,'0331 4度C'!$A:$A,"新豐2線",'0331 4度C'!$B:$B,"平均")</f>
        <v>3</v>
      </c>
      <c r="F20" s="86">
        <f>SUMIFS('0331 4度C'!$AC:$AC,'0331 4度C'!$A:$A,"新豐5線",'0331 4度C'!$B:$B,"平均")</f>
        <v>4</v>
      </c>
      <c r="G20" s="86">
        <f>SUMIFS('0331 4度C'!$AC:$AC,'0331 4度C'!$A:$A,"新豐7線",'0331 4度C'!$B:$B,"平均")</f>
        <v>6</v>
      </c>
      <c r="H20" s="86">
        <f>SUMIFS('0331 4度C'!$AC:$AC,'0331 4度C'!$A:$A,"新豐3線",'0331 4度C'!$B:$B,"平均")</f>
        <v>5</v>
      </c>
      <c r="I20" s="86">
        <f>SUMIFS('0331 4度C'!$AC:$AC,'0331 4度C'!$A:$A,"新豐1線",'0331 4度C'!$B:$B,"平均")</f>
        <v>8</v>
      </c>
      <c r="J20" s="87">
        <f>SUMIFS('0331 4度C'!$AC:$AC,'0331 4度C'!$A:$A,"新豐10線",'0331 4度C'!$B:$B,"平均")</f>
        <v>5</v>
      </c>
      <c r="K20" s="88">
        <f>SUMIFS('0331 4度C'!$AC:$AC,'0331 4度C'!$A:$A,"新豐8線",'0331 4度C'!$B:$B,"平均")</f>
        <v>6</v>
      </c>
      <c r="L20" s="86">
        <f>SUMIFS('0331 4度C'!$AC:$AC,'0331 4度C'!$A:$A,"新豐9線",'0331 4度C'!$B:$B,"平均")</f>
        <v>7</v>
      </c>
      <c r="M20" s="87">
        <f>SUMIFS('0331 4度C'!$AC:$AC,'0331 4度C'!$A:$A,"新豐4線",'0331 4度C'!$B:$B,"平均")</f>
        <v>6</v>
      </c>
    </row>
    <row r="21" spans="2:13" ht="17.25" customHeight="1">
      <c r="B21" s="102"/>
      <c r="C21" s="84" t="s">
        <v>2727</v>
      </c>
      <c r="D21" s="85">
        <f>SUMIFS('0331 4度C'!$AD:$AD,'0331 4度C'!$A:$A,"新豐6線",'0331 4度C'!$B:$B,"平均")</f>
        <v>0</v>
      </c>
      <c r="E21" s="86">
        <f>SUMIFS('0331 4度C'!$AD:$AD,'0331 4度C'!$A:$A,"新豐2線",'0331 4度C'!$B:$B,"平均")</f>
        <v>0</v>
      </c>
      <c r="F21" s="86">
        <f>SUMIFS('0331 4度C'!$AD:$AD,'0331 4度C'!$A:$A,"新豐5線",'0331 4度C'!$B:$B,"平均")</f>
        <v>0</v>
      </c>
      <c r="G21" s="86">
        <f>SUMIFS('0331 4度C'!$AD:$AD,'0331 4度C'!$A:$A,"新豐7線",'0331 4度C'!$B:$B,"平均")</f>
        <v>0</v>
      </c>
      <c r="H21" s="86">
        <f>SUMIFS('0331 4度C'!$AD:$AD,'0331 4度C'!$A:$A,"新豐3線",'0331 4度C'!$B:$B,"平均")</f>
        <v>0</v>
      </c>
      <c r="I21" s="86">
        <f>SUMIFS('0331 4度C'!$AD:$AD,'0331 4度C'!$A:$A,"新豐1線",'0331 4度C'!$B:$B,"平均")</f>
        <v>0</v>
      </c>
      <c r="J21" s="87">
        <f>SUMIFS('0331 4度C'!$AD:$AD,'0331 4度C'!$A:$A,"新豐10線",'0331 4度C'!$B:$B,"平均")</f>
        <v>0</v>
      </c>
      <c r="K21" s="88">
        <f>SUMIFS('0331 4度C'!$AD:$AD,'0331 4度C'!$A:$A,"新豐8線",'0331 4度C'!$B:$B,"平均")</f>
        <v>0</v>
      </c>
      <c r="L21" s="86">
        <f>SUMIFS('0331 4度C'!$AD:$AD,'0331 4度C'!$A:$A,"新豐9線",'0331 4度C'!$B:$B,"平均")</f>
        <v>0</v>
      </c>
      <c r="M21" s="87">
        <f>SUMIFS('0331 4度C'!$AD:$AD,'0331 4度C'!$A:$A,"新豐4線",'0331 4度C'!$B:$B,"平均")</f>
        <v>0</v>
      </c>
    </row>
    <row r="22" spans="2:13" ht="17.25" customHeight="1">
      <c r="B22" s="103" t="s">
        <v>2728</v>
      </c>
      <c r="C22" s="104"/>
      <c r="D22" s="89">
        <f>SUMIFS('0331 4度C'!$I:$I,'0331 4度C'!$A:$A,"新豐6線",'0331 4度C'!$B:$B,"平均")</f>
        <v>18</v>
      </c>
      <c r="E22" s="90">
        <f>SUMIFS('0331 4度C'!$I:$I,'0331 4度C'!$A:$A,"新豐2線",'0331 4度C'!$B:$B,"平均")</f>
        <v>17.666666666666668</v>
      </c>
      <c r="F22" s="90">
        <f>SUMIFS('0331 4度C'!$I:$I,'0331 4度C'!$A:$A,"新豐5線",'0331 4度C'!$B:$B,"平均")</f>
        <v>18.25</v>
      </c>
      <c r="G22" s="90">
        <f>SUMIFS('0331 4度C'!$I:$I,'0331 4度C'!$A:$A,"新豐7線",'0331 4度C'!$B:$B,"平均")</f>
        <v>15</v>
      </c>
      <c r="H22" s="90">
        <f>SUMIFS('0331 4度C'!$I:$I,'0331 4度C'!$A:$A,"新豐3線",'0331 4度C'!$B:$B,"平均")</f>
        <v>9</v>
      </c>
      <c r="I22" s="90">
        <f>SUMIFS('0331 4度C'!$I:$I,'0331 4度C'!$A:$A,"新豐1線",'0331 4度C'!$B:$B,"平均")</f>
        <v>18.625</v>
      </c>
      <c r="J22" s="91">
        <f>SUMIFS('0331 4度C'!$I:$I,'0331 4度C'!$A:$A,"新豐10線",'0331 4度C'!$B:$B,"平均")</f>
        <v>10.4</v>
      </c>
      <c r="K22" s="89">
        <f>SUMIFS('0331 4度C'!$I:$I,'0331 4度C'!$A:$A,"新豐8線",'0331 4度C'!$B:$B,"平均")</f>
        <v>18.333333333333332</v>
      </c>
      <c r="L22" s="90">
        <f>SUMIFS('0331 4度C'!$I:$I,'0331 4度C'!$A:$A,"新豐9線",'0331 4度C'!$B:$B,"平均")</f>
        <v>17.857142857142858</v>
      </c>
      <c r="M22" s="91">
        <f>SUMIFS('0331 4度C'!$I:$I,'0331 4度C'!$A:$A,"新豐4線",'0331 4度C'!$B:$B,"平均")</f>
        <v>15.166666666666666</v>
      </c>
    </row>
    <row r="23" spans="2:13" ht="17.25" customHeight="1">
      <c r="B23" s="103" t="s">
        <v>2729</v>
      </c>
      <c r="C23" s="104"/>
      <c r="D23" s="92" t="s">
        <v>185</v>
      </c>
      <c r="E23" s="93" t="s">
        <v>186</v>
      </c>
      <c r="F23" s="93" t="s">
        <v>2730</v>
      </c>
      <c r="G23" s="93" t="s">
        <v>2730</v>
      </c>
      <c r="H23" s="93" t="s">
        <v>188</v>
      </c>
      <c r="I23" s="93" t="s">
        <v>185</v>
      </c>
      <c r="J23" s="94" t="s">
        <v>188</v>
      </c>
      <c r="K23" s="92" t="s">
        <v>2731</v>
      </c>
      <c r="L23" s="93" t="s">
        <v>2732</v>
      </c>
      <c r="M23" s="94" t="s">
        <v>189</v>
      </c>
    </row>
    <row r="24" spans="2:13" ht="17.25" customHeight="1">
      <c r="B24" s="103" t="s">
        <v>2733</v>
      </c>
      <c r="C24" s="104"/>
      <c r="D24" s="92"/>
      <c r="E24" s="93"/>
      <c r="F24" s="93" t="s">
        <v>2734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2735</v>
      </c>
      <c r="C25" s="106"/>
      <c r="D25" s="95"/>
      <c r="E25" s="96" t="s">
        <v>2736</v>
      </c>
      <c r="F25" s="99" t="s">
        <v>2737</v>
      </c>
      <c r="G25" s="100"/>
      <c r="H25" s="96" t="s">
        <v>2738</v>
      </c>
      <c r="I25" s="96" t="s">
        <v>2739</v>
      </c>
      <c r="J25" s="97" t="s">
        <v>2740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6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69"/>
  <sheetViews>
    <sheetView topLeftCell="J1"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2741</v>
      </c>
      <c r="B1" s="1"/>
      <c r="C1" s="2" t="s">
        <v>2742</v>
      </c>
      <c r="D1" s="3">
        <f>SUM(F5:F68)</f>
        <v>165261</v>
      </c>
      <c r="E1" s="4" t="s">
        <v>2743</v>
      </c>
      <c r="F1" s="1">
        <f>SUM(G5:G68)</f>
        <v>5479936.7200000007</v>
      </c>
      <c r="G1" s="1" t="s">
        <v>2744</v>
      </c>
      <c r="H1" s="5">
        <f>L9+L13+L46+L55+L18+L61+L32+L40+L25+L68</f>
        <v>158.29880952380952</v>
      </c>
      <c r="I1" s="212" t="s">
        <v>2745</v>
      </c>
      <c r="J1" s="212"/>
      <c r="K1" s="212"/>
      <c r="L1" s="212" t="s">
        <v>2746</v>
      </c>
      <c r="M1" s="212"/>
      <c r="N1" s="212"/>
      <c r="O1" s="212" t="s">
        <v>2747</v>
      </c>
      <c r="P1" s="212"/>
      <c r="Q1" s="212"/>
      <c r="R1" s="212"/>
      <c r="S1" s="212" t="s">
        <v>2748</v>
      </c>
      <c r="T1" s="212"/>
      <c r="U1" s="212"/>
      <c r="V1" s="212"/>
      <c r="W1" s="212"/>
      <c r="X1" s="212"/>
      <c r="Y1" s="6" t="s">
        <v>2749</v>
      </c>
      <c r="Z1" s="7" t="s">
        <v>2750</v>
      </c>
      <c r="AA1" s="213" t="s">
        <v>2751</v>
      </c>
      <c r="AB1" s="213"/>
      <c r="AC1" s="42" t="s">
        <v>2749</v>
      </c>
      <c r="AD1" s="7" t="s">
        <v>2752</v>
      </c>
      <c r="AE1" s="212" t="s">
        <v>2753</v>
      </c>
      <c r="AF1" s="214"/>
      <c r="AG1" s="214"/>
    </row>
    <row r="2" spans="1:33" ht="26.25" customHeight="1">
      <c r="A2" s="33">
        <v>46112</v>
      </c>
      <c r="B2" s="34" t="s">
        <v>303</v>
      </c>
      <c r="C2" s="2" t="s">
        <v>2717</v>
      </c>
      <c r="D2" s="9">
        <f>AVERAGE(N9,N13,N46,N55,N18,N61,N25,N32,N40,N68)</f>
        <v>148.95757334686613</v>
      </c>
      <c r="E2" s="10" t="s">
        <v>14</v>
      </c>
      <c r="F2" s="11">
        <f>F1/D1</f>
        <v>33.159285735896553</v>
      </c>
      <c r="G2" s="1" t="s">
        <v>2754</v>
      </c>
      <c r="H2" s="12">
        <f>COUNT(H5:H68)</f>
        <v>6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SUM(Y9+Y13+Y18+Y25+Y32+Y40+Y46+Y55+Y61+Y68)</f>
        <v>0</v>
      </c>
      <c r="Z2" s="13">
        <f>SUM(Z9+Z13+Z18+Z25+Z32+Z40+Z46+Z55+Z61+Z68)</f>
        <v>0</v>
      </c>
      <c r="AA2" s="213"/>
      <c r="AB2" s="213"/>
      <c r="AC2" s="13">
        <v>54</v>
      </c>
      <c r="AD2" s="13">
        <f>SUM(AD9+AD13+AD18+AD25+AD32+AD40+AD46+AD55+AD61+AD68)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2755</v>
      </c>
      <c r="C3" s="162" t="s">
        <v>2756</v>
      </c>
      <c r="D3" s="162"/>
      <c r="E3" s="210" t="s">
        <v>19</v>
      </c>
      <c r="F3" s="162" t="s">
        <v>264</v>
      </c>
      <c r="G3" s="210" t="s">
        <v>2757</v>
      </c>
      <c r="H3" s="204" t="s">
        <v>2758</v>
      </c>
      <c r="I3" s="202" t="s">
        <v>2759</v>
      </c>
      <c r="J3" s="199" t="s">
        <v>2760</v>
      </c>
      <c r="K3" s="209" t="s">
        <v>13</v>
      </c>
      <c r="L3" s="202" t="s">
        <v>2761</v>
      </c>
      <c r="M3" s="199" t="s">
        <v>24</v>
      </c>
      <c r="N3" s="209" t="s">
        <v>2717</v>
      </c>
      <c r="O3" s="202" t="s">
        <v>267</v>
      </c>
      <c r="P3" s="209" t="s">
        <v>13</v>
      </c>
      <c r="Q3" s="200" t="s">
        <v>25</v>
      </c>
      <c r="R3" s="178" t="s">
        <v>26</v>
      </c>
      <c r="S3" s="162" t="s">
        <v>27</v>
      </c>
      <c r="T3" s="162"/>
      <c r="U3" s="204" t="s">
        <v>28</v>
      </c>
      <c r="V3" s="204" t="s">
        <v>2762</v>
      </c>
      <c r="W3" s="162" t="s">
        <v>30</v>
      </c>
      <c r="X3" s="162"/>
      <c r="Y3" s="205" t="s">
        <v>2763</v>
      </c>
      <c r="Z3" s="166"/>
      <c r="AA3" s="206" t="s">
        <v>2764</v>
      </c>
      <c r="AB3" s="207"/>
      <c r="AC3" s="205" t="s">
        <v>275</v>
      </c>
      <c r="AD3" s="166"/>
      <c r="AE3" s="199" t="s">
        <v>24</v>
      </c>
      <c r="AF3" s="200" t="s">
        <v>2765</v>
      </c>
      <c r="AG3" s="178" t="s">
        <v>2766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39</v>
      </c>
      <c r="X4" s="4" t="s">
        <v>2767</v>
      </c>
      <c r="Y4" s="14" t="s">
        <v>2724</v>
      </c>
      <c r="Z4" s="14" t="s">
        <v>180</v>
      </c>
      <c r="AA4" s="208"/>
      <c r="AB4" s="207"/>
      <c r="AC4" s="14" t="s">
        <v>2768</v>
      </c>
      <c r="AD4" s="14" t="s">
        <v>44</v>
      </c>
      <c r="AE4" s="199"/>
      <c r="AF4" s="200"/>
      <c r="AG4" s="178"/>
    </row>
    <row r="5" spans="1:33">
      <c r="A5" s="201" t="s">
        <v>2769</v>
      </c>
      <c r="B5" s="35" t="s">
        <v>78</v>
      </c>
      <c r="C5" s="203" t="s">
        <v>79</v>
      </c>
      <c r="D5" s="203"/>
      <c r="E5" s="35">
        <v>50.67</v>
      </c>
      <c r="F5" s="4">
        <v>1531</v>
      </c>
      <c r="G5" s="4">
        <f t="shared" ref="G5:G8" si="0">E5*F5</f>
        <v>77575.77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8" si="2">F5/V5*60</f>
        <v>1913.7500000000005</v>
      </c>
      <c r="N5" s="16">
        <f t="shared" ref="N5:N68" si="3">M5/L5</f>
        <v>112.57352941176474</v>
      </c>
      <c r="O5" s="18">
        <f t="shared" ref="O5:O68" si="4">L5-I5</f>
        <v>0</v>
      </c>
      <c r="P5" s="19">
        <f t="shared" ref="P5:P68" si="5">N5-K5</f>
        <v>-5.0735294117646674</v>
      </c>
      <c r="Q5" s="20">
        <f t="shared" ref="Q5:Q68" si="6">N5/K5</f>
        <v>0.95687500000000036</v>
      </c>
      <c r="R5" s="170">
        <f>Q9</f>
        <v>0.950349091880339</v>
      </c>
      <c r="S5" s="27">
        <v>0.70833333333333337</v>
      </c>
      <c r="T5" s="27">
        <v>0.7416666666666667</v>
      </c>
      <c r="U5" s="4"/>
      <c r="V5" s="21">
        <f t="shared" ref="V5:V8" si="7">(T5-S5)*24*60</f>
        <v>47.999999999999986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4" si="8">M5-J5</f>
        <v>-86.249999999999545</v>
      </c>
      <c r="AF5" s="20">
        <f t="shared" ref="AF5:AF68" si="9">M5/J5</f>
        <v>0.95687500000000025</v>
      </c>
      <c r="AG5" s="170">
        <f>AF9</f>
        <v>0.95034909188033911</v>
      </c>
    </row>
    <row r="6" spans="1:33">
      <c r="A6" s="202" t="s">
        <v>2770</v>
      </c>
      <c r="B6" s="35" t="s">
        <v>78</v>
      </c>
      <c r="C6" s="203" t="s">
        <v>80</v>
      </c>
      <c r="D6" s="203"/>
      <c r="E6" s="35">
        <v>54.09</v>
      </c>
      <c r="F6" s="4">
        <v>1239</v>
      </c>
      <c r="G6" s="4">
        <f t="shared" si="0"/>
        <v>67017.510000000009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1906.1538461538451</v>
      </c>
      <c r="N6" s="16">
        <f t="shared" si="3"/>
        <v>100.32388663967606</v>
      </c>
      <c r="O6" s="18">
        <f t="shared" si="4"/>
        <v>0</v>
      </c>
      <c r="P6" s="19">
        <f t="shared" si="5"/>
        <v>-4.939271255060774</v>
      </c>
      <c r="Q6" s="20">
        <f t="shared" si="6"/>
        <v>0.9530769230769226</v>
      </c>
      <c r="R6" s="170"/>
      <c r="S6" s="27">
        <v>0.74583333333333335</v>
      </c>
      <c r="T6" s="27">
        <v>0.7729166666666667</v>
      </c>
      <c r="U6" s="4">
        <f t="shared" ref="U6:U8" si="10">IF(S6=TIME(17,0,0),"",(S6-T5)*24*60)</f>
        <v>5.9999999999999787</v>
      </c>
      <c r="V6" s="21">
        <f t="shared" si="7"/>
        <v>39.000000000000021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-93.846153846154948</v>
      </c>
      <c r="AF6" s="20">
        <f t="shared" si="9"/>
        <v>0.95307692307692249</v>
      </c>
      <c r="AG6" s="170"/>
    </row>
    <row r="7" spans="1:33">
      <c r="A7" s="202" t="s">
        <v>45</v>
      </c>
      <c r="B7" s="35" t="s">
        <v>78</v>
      </c>
      <c r="C7" s="197" t="s">
        <v>82</v>
      </c>
      <c r="D7" s="198"/>
      <c r="E7" s="35">
        <v>50.67</v>
      </c>
      <c r="F7" s="4">
        <v>309</v>
      </c>
      <c r="G7" s="4">
        <f t="shared" si="0"/>
        <v>15657.03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1853.9999999999768</v>
      </c>
      <c r="N7" s="16">
        <f t="shared" si="3"/>
        <v>88.285714285713183</v>
      </c>
      <c r="O7" s="18">
        <f t="shared" si="4"/>
        <v>0</v>
      </c>
      <c r="P7" s="19">
        <f t="shared" si="5"/>
        <v>-6.9523809523820574</v>
      </c>
      <c r="Q7" s="20">
        <f t="shared" si="6"/>
        <v>0.92699999999998839</v>
      </c>
      <c r="R7" s="170"/>
      <c r="S7" s="27">
        <v>0.77847222222222223</v>
      </c>
      <c r="T7" s="27">
        <v>0.78541666666666676</v>
      </c>
      <c r="U7" s="4">
        <f t="shared" si="10"/>
        <v>7.9999999999999716</v>
      </c>
      <c r="V7" s="21">
        <f t="shared" si="7"/>
        <v>10.000000000000124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-146.00000000002319</v>
      </c>
      <c r="AF7" s="20">
        <f t="shared" si="9"/>
        <v>0.92699999999998839</v>
      </c>
      <c r="AG7" s="170"/>
    </row>
    <row r="8" spans="1:33">
      <c r="A8" s="202" t="s">
        <v>45</v>
      </c>
      <c r="B8" s="35" t="s">
        <v>78</v>
      </c>
      <c r="C8" s="197" t="s">
        <v>91</v>
      </c>
      <c r="D8" s="198"/>
      <c r="E8" s="35">
        <v>50.67</v>
      </c>
      <c r="F8" s="4">
        <v>1736</v>
      </c>
      <c r="G8" s="4">
        <f t="shared" si="0"/>
        <v>87963.12000000001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1928.8888888888901</v>
      </c>
      <c r="N8" s="16">
        <f t="shared" si="3"/>
        <v>128.59259259259267</v>
      </c>
      <c r="O8" s="18">
        <f t="shared" si="4"/>
        <v>0</v>
      </c>
      <c r="P8" s="19">
        <f t="shared" si="5"/>
        <v>-4.7407407407406765</v>
      </c>
      <c r="Q8" s="20">
        <f t="shared" si="6"/>
        <v>0.96444444444444488</v>
      </c>
      <c r="R8" s="170"/>
      <c r="S8" s="27">
        <v>0.78819444444444442</v>
      </c>
      <c r="T8" s="27">
        <v>0.8256944444444444</v>
      </c>
      <c r="U8" s="4">
        <f t="shared" si="10"/>
        <v>3.9999999999998259</v>
      </c>
      <c r="V8" s="21">
        <f t="shared" si="7"/>
        <v>53.999999999999972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-71.111111111109949</v>
      </c>
      <c r="AF8" s="20">
        <f t="shared" si="9"/>
        <v>0.96444444444444499</v>
      </c>
      <c r="AG8" s="170"/>
    </row>
    <row r="9" spans="1:33">
      <c r="A9" s="202" t="s">
        <v>45</v>
      </c>
      <c r="B9" s="35" t="s">
        <v>48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1900.6981837606781</v>
      </c>
      <c r="N9" s="16">
        <f t="shared" si="3"/>
        <v>105.59434354225989</v>
      </c>
      <c r="O9" s="18">
        <f t="shared" si="4"/>
        <v>0</v>
      </c>
      <c r="P9" s="19">
        <f t="shared" si="5"/>
        <v>-5.5167675688512219</v>
      </c>
      <c r="Q9" s="20">
        <f t="shared" si="6"/>
        <v>0.950349091880339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-99.301816239321852</v>
      </c>
      <c r="AF9" s="20">
        <f t="shared" si="9"/>
        <v>0.95034909188033911</v>
      </c>
      <c r="AG9" s="170"/>
    </row>
    <row r="10" spans="1:33" ht="15.75" customHeight="1">
      <c r="A10" s="196" t="s">
        <v>2771</v>
      </c>
      <c r="B10" s="35" t="s">
        <v>84</v>
      </c>
      <c r="C10" s="197" t="s">
        <v>85</v>
      </c>
      <c r="D10" s="198"/>
      <c r="E10" s="35">
        <v>39.619999999999997</v>
      </c>
      <c r="F10" s="4">
        <v>5591</v>
      </c>
      <c r="G10" s="4">
        <f t="shared" ref="G10:G12" si="11">E10*F10</f>
        <v>221515.41999999998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1433.5897435897434</v>
      </c>
      <c r="N10" s="16">
        <f t="shared" si="3"/>
        <v>75.452091767881228</v>
      </c>
      <c r="O10" s="18">
        <f t="shared" si="4"/>
        <v>0</v>
      </c>
      <c r="P10" s="19">
        <f t="shared" si="5"/>
        <v>-3.4952766531714019</v>
      </c>
      <c r="Q10" s="20">
        <f t="shared" si="6"/>
        <v>0.9557264957264956</v>
      </c>
      <c r="R10" s="170">
        <f>Q13</f>
        <v>0.95474862884189304</v>
      </c>
      <c r="S10" s="27">
        <v>0.20833333333333334</v>
      </c>
      <c r="T10" s="27">
        <v>0.37083333333333335</v>
      </c>
      <c r="U10" s="4"/>
      <c r="V10" s="21">
        <f t="shared" ref="V10:V12" si="13">(T10-S10)*24*60</f>
        <v>234.00000000000003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-66.410256410256579</v>
      </c>
      <c r="AF10" s="20">
        <f t="shared" si="9"/>
        <v>0.9557264957264956</v>
      </c>
      <c r="AG10" s="170">
        <f>AF13</f>
        <v>0.95474862884189304</v>
      </c>
    </row>
    <row r="11" spans="1:33" ht="15.75" customHeight="1">
      <c r="A11" s="196" t="s">
        <v>2771</v>
      </c>
      <c r="B11" s="35" t="s">
        <v>84</v>
      </c>
      <c r="C11" s="197" t="s">
        <v>86</v>
      </c>
      <c r="D11" s="198"/>
      <c r="E11" s="35">
        <v>39.799999999999997</v>
      </c>
      <c r="F11" s="4">
        <v>4600</v>
      </c>
      <c r="G11" s="4">
        <f t="shared" si="11"/>
        <v>183080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1430.051813471503</v>
      </c>
      <c r="N11" s="16">
        <f t="shared" si="3"/>
        <v>84.120694910088417</v>
      </c>
      <c r="O11" s="18">
        <f t="shared" si="4"/>
        <v>0</v>
      </c>
      <c r="P11" s="19">
        <f t="shared" si="5"/>
        <v>-4.1145992075586406</v>
      </c>
      <c r="Q11" s="20">
        <f t="shared" si="6"/>
        <v>0.95336787564766878</v>
      </c>
      <c r="R11" s="170"/>
      <c r="S11" s="27">
        <v>0.37638888888888888</v>
      </c>
      <c r="T11" s="27">
        <v>0.51041666666666663</v>
      </c>
      <c r="U11" s="4">
        <f t="shared" ref="U11:U12" si="14">IF(S11=TIME(17,0,0),"",(S11-T10)*24*60)</f>
        <v>7.9999999999999716</v>
      </c>
      <c r="V11" s="21">
        <f t="shared" si="13"/>
        <v>192.99999999999994</v>
      </c>
      <c r="W11" s="22">
        <f>T11</f>
        <v>0.51041666666666663</v>
      </c>
      <c r="X11" s="22">
        <f>S12</f>
        <v>0.55069444444444438</v>
      </c>
      <c r="Y11" s="22"/>
      <c r="Z11" s="22"/>
      <c r="AA11" s="162"/>
      <c r="AB11" s="162"/>
      <c r="AC11" s="24"/>
      <c r="AD11" s="24"/>
      <c r="AE11" s="18">
        <f t="shared" si="8"/>
        <v>-69.94818652849699</v>
      </c>
      <c r="AF11" s="20">
        <f t="shared" si="9"/>
        <v>0.95336787564766867</v>
      </c>
      <c r="AG11" s="170"/>
    </row>
    <row r="12" spans="1:33" ht="15.75" customHeight="1">
      <c r="A12" s="196" t="s">
        <v>283</v>
      </c>
      <c r="B12" s="35" t="s">
        <v>84</v>
      </c>
      <c r="C12" s="197" t="s">
        <v>86</v>
      </c>
      <c r="D12" s="198"/>
      <c r="E12" s="35">
        <v>39.799999999999997</v>
      </c>
      <c r="F12" s="4">
        <v>3940</v>
      </c>
      <c r="G12" s="4">
        <f t="shared" si="11"/>
        <v>156812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1432.7272727272723</v>
      </c>
      <c r="N12" s="16">
        <f t="shared" si="3"/>
        <v>84.278074866310135</v>
      </c>
      <c r="O12" s="18">
        <f t="shared" si="4"/>
        <v>0</v>
      </c>
      <c r="P12" s="19">
        <f t="shared" si="5"/>
        <v>-3.9572192513369231</v>
      </c>
      <c r="Q12" s="20">
        <f t="shared" si="6"/>
        <v>0.95515151515151486</v>
      </c>
      <c r="R12" s="170"/>
      <c r="S12" s="27">
        <v>0.55069444444444438</v>
      </c>
      <c r="T12" s="27">
        <v>0.66527777777777775</v>
      </c>
      <c r="U12" s="4">
        <f t="shared" si="14"/>
        <v>57.999999999999957</v>
      </c>
      <c r="V12" s="21">
        <f t="shared" si="13"/>
        <v>165.00000000000006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-67.272727272727707</v>
      </c>
      <c r="AF12" s="20">
        <f t="shared" si="9"/>
        <v>0.95515151515151486</v>
      </c>
      <c r="AG12" s="170"/>
    </row>
    <row r="13" spans="1:33" ht="16.5" customHeight="1">
      <c r="A13" s="196" t="s">
        <v>2772</v>
      </c>
      <c r="B13" s="35" t="s">
        <v>48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1432.1229432628395</v>
      </c>
      <c r="N13" s="16">
        <f t="shared" si="3"/>
        <v>81.063562826198464</v>
      </c>
      <c r="O13" s="18">
        <f t="shared" si="4"/>
        <v>0</v>
      </c>
      <c r="P13" s="19">
        <f t="shared" si="5"/>
        <v>-3.8420975511600233</v>
      </c>
      <c r="Q13" s="20">
        <f t="shared" si="6"/>
        <v>0.95474862884189304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v>3</v>
      </c>
      <c r="AD13" s="30">
        <f>SUM(AD10:AD12)</f>
        <v>0</v>
      </c>
      <c r="AE13" s="18">
        <f t="shared" si="8"/>
        <v>-67.877056737160501</v>
      </c>
      <c r="AF13" s="20">
        <f t="shared" si="9"/>
        <v>0.95474862884189304</v>
      </c>
      <c r="AG13" s="170"/>
    </row>
    <row r="14" spans="1:33" ht="16.5" customHeight="1">
      <c r="A14" s="194" t="s">
        <v>50</v>
      </c>
      <c r="B14" s="4" t="s">
        <v>87</v>
      </c>
      <c r="C14" s="190" t="s">
        <v>88</v>
      </c>
      <c r="D14" s="190"/>
      <c r="E14" s="35">
        <v>41</v>
      </c>
      <c r="F14" s="4">
        <v>2519</v>
      </c>
      <c r="G14" s="4">
        <f t="shared" ref="G14:G17" si="15">E14*F14</f>
        <v>103279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1439.4285714285716</v>
      </c>
      <c r="N14" s="16">
        <f t="shared" si="3"/>
        <v>55.362637362637365</v>
      </c>
      <c r="O14" s="18">
        <f t="shared" si="4"/>
        <v>0</v>
      </c>
      <c r="P14" s="19">
        <f t="shared" si="5"/>
        <v>-2.3296703296703285</v>
      </c>
      <c r="Q14" s="20">
        <f t="shared" si="6"/>
        <v>0.95961904761904759</v>
      </c>
      <c r="R14" s="170">
        <f>Q18</f>
        <v>0.9493042669042675</v>
      </c>
      <c r="S14" s="27">
        <v>0.20833333333333334</v>
      </c>
      <c r="T14" s="27">
        <v>0.28125</v>
      </c>
      <c r="U14" s="4"/>
      <c r="V14" s="21">
        <f t="shared" ref="V14:V17" si="17">(T14-S14)*24*60</f>
        <v>104.99999999999999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-60.571428571428442</v>
      </c>
      <c r="AF14" s="20">
        <f t="shared" si="9"/>
        <v>0.9596190476190477</v>
      </c>
      <c r="AG14" s="170">
        <f>AF18</f>
        <v>0.9493042669042675</v>
      </c>
    </row>
    <row r="15" spans="1:33" ht="16.5" customHeight="1">
      <c r="A15" s="195" t="s">
        <v>2773</v>
      </c>
      <c r="B15" s="4" t="s">
        <v>78</v>
      </c>
      <c r="C15" s="190" t="s">
        <v>89</v>
      </c>
      <c r="D15" s="190"/>
      <c r="E15" s="35">
        <v>50.98</v>
      </c>
      <c r="F15" s="4">
        <v>2481</v>
      </c>
      <c r="G15" s="4">
        <f t="shared" si="15"/>
        <v>126481.37999999999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1908.4615384615374</v>
      </c>
      <c r="N15" s="16">
        <f t="shared" si="3"/>
        <v>119.27884615384609</v>
      </c>
      <c r="O15" s="18">
        <f t="shared" si="4"/>
        <v>0</v>
      </c>
      <c r="P15" s="19">
        <f t="shared" si="5"/>
        <v>-5.7211538461539106</v>
      </c>
      <c r="Q15" s="20">
        <f t="shared" si="6"/>
        <v>0.95423076923076866</v>
      </c>
      <c r="R15" s="170"/>
      <c r="S15" s="27">
        <v>0.70833333333333337</v>
      </c>
      <c r="T15" s="27">
        <v>0.76250000000000007</v>
      </c>
      <c r="U15" s="4" t="str">
        <f t="shared" ref="U15:U17" si="18">IF(S15=TIME(17,0,0),"",(S15-T14)*24*60)</f>
        <v/>
      </c>
      <c r="V15" s="21">
        <f t="shared" si="17"/>
        <v>78.000000000000043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-91.53846153846257</v>
      </c>
      <c r="AF15" s="20">
        <f t="shared" si="9"/>
        <v>0.95423076923076866</v>
      </c>
      <c r="AG15" s="170"/>
    </row>
    <row r="16" spans="1:33" ht="16.5" customHeight="1">
      <c r="A16" s="195" t="s">
        <v>50</v>
      </c>
      <c r="B16" s="4" t="s">
        <v>78</v>
      </c>
      <c r="C16" s="190" t="s">
        <v>83</v>
      </c>
      <c r="D16" s="190"/>
      <c r="E16" s="35">
        <v>50.67</v>
      </c>
      <c r="F16" s="4">
        <v>310</v>
      </c>
      <c r="G16" s="4">
        <f t="shared" si="15"/>
        <v>15707.7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1860.0000000000066</v>
      </c>
      <c r="N16" s="16">
        <f t="shared" si="3"/>
        <v>116.25000000000041</v>
      </c>
      <c r="O16" s="18">
        <f t="shared" si="4"/>
        <v>0</v>
      </c>
      <c r="P16" s="19">
        <f t="shared" si="5"/>
        <v>-8.7499999999995879</v>
      </c>
      <c r="Q16" s="20">
        <f t="shared" si="6"/>
        <v>0.93000000000000327</v>
      </c>
      <c r="R16" s="170"/>
      <c r="S16" s="27">
        <v>0.76597222222222228</v>
      </c>
      <c r="T16" s="27">
        <v>0.7729166666666667</v>
      </c>
      <c r="U16" s="4">
        <f t="shared" si="18"/>
        <v>4.9999999999999822</v>
      </c>
      <c r="V16" s="21">
        <f t="shared" si="17"/>
        <v>9.9999999999999645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-139.99999999999341</v>
      </c>
      <c r="AF16" s="20">
        <f t="shared" si="9"/>
        <v>0.93000000000000327</v>
      </c>
      <c r="AG16" s="170"/>
    </row>
    <row r="17" spans="1:33" ht="16.5" customHeight="1">
      <c r="A17" s="195" t="s">
        <v>2774</v>
      </c>
      <c r="B17" s="4" t="s">
        <v>78</v>
      </c>
      <c r="C17" s="190" t="s">
        <v>90</v>
      </c>
      <c r="D17" s="190"/>
      <c r="E17" s="35">
        <v>50.92</v>
      </c>
      <c r="F17" s="4">
        <v>2358</v>
      </c>
      <c r="G17" s="4">
        <f t="shared" si="15"/>
        <v>120069.36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1911.8918918918905</v>
      </c>
      <c r="N17" s="16">
        <f t="shared" si="3"/>
        <v>127.45945945945937</v>
      </c>
      <c r="O17" s="18">
        <f t="shared" si="4"/>
        <v>0</v>
      </c>
      <c r="P17" s="19">
        <f t="shared" si="5"/>
        <v>-5.8738738738739755</v>
      </c>
      <c r="Q17" s="20">
        <f t="shared" si="6"/>
        <v>0.95594594594594517</v>
      </c>
      <c r="R17" s="170"/>
      <c r="S17" s="27">
        <v>0.77708333333333335</v>
      </c>
      <c r="T17" s="27">
        <v>0.82847222222222228</v>
      </c>
      <c r="U17" s="4">
        <f t="shared" si="18"/>
        <v>5.9999999999999787</v>
      </c>
      <c r="V17" s="21">
        <f t="shared" si="17"/>
        <v>74.000000000000057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-88.108108108109491</v>
      </c>
      <c r="AF17" s="20">
        <f t="shared" si="9"/>
        <v>0.95594594594594529</v>
      </c>
      <c r="AG17" s="170"/>
    </row>
    <row r="18" spans="1:33" ht="16.5" customHeight="1">
      <c r="A18" s="195" t="s">
        <v>50</v>
      </c>
      <c r="B18" s="35" t="s">
        <v>48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1779.9455004455015</v>
      </c>
      <c r="N18" s="16">
        <f t="shared" si="3"/>
        <v>97.531260298383643</v>
      </c>
      <c r="O18" s="18">
        <f t="shared" si="4"/>
        <v>0</v>
      </c>
      <c r="P18" s="19">
        <f t="shared" si="5"/>
        <v>-5.2084657290136107</v>
      </c>
      <c r="Q18" s="20">
        <f t="shared" si="6"/>
        <v>0.9493042669042675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-95.054499554498534</v>
      </c>
      <c r="AF18" s="20">
        <f t="shared" si="9"/>
        <v>0.9493042669042675</v>
      </c>
      <c r="AG18" s="170"/>
    </row>
    <row r="19" spans="1:33" ht="15.75" customHeight="1">
      <c r="A19" s="192" t="s">
        <v>52</v>
      </c>
      <c r="B19" s="35" t="s">
        <v>78</v>
      </c>
      <c r="C19" s="190" t="s">
        <v>92</v>
      </c>
      <c r="D19" s="190"/>
      <c r="E19" s="35">
        <v>57.73</v>
      </c>
      <c r="F19" s="4">
        <v>2486</v>
      </c>
      <c r="G19" s="4">
        <f t="shared" ref="G19:G24" si="19">E19*F19</f>
        <v>143516.78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4" si="20">F19/V19*60</f>
        <v>1912.3076923076924</v>
      </c>
      <c r="N19" s="16">
        <f t="shared" si="3"/>
        <v>136.5934065934066</v>
      </c>
      <c r="O19" s="18">
        <f t="shared" si="4"/>
        <v>0</v>
      </c>
      <c r="P19" s="19">
        <f t="shared" si="5"/>
        <v>-6.2637362637362628</v>
      </c>
      <c r="Q19" s="20">
        <f t="shared" si="6"/>
        <v>0.95615384615384613</v>
      </c>
      <c r="R19" s="170">
        <f>Q25</f>
        <v>0.960033710460932</v>
      </c>
      <c r="S19" s="27">
        <v>0.20833333333333334</v>
      </c>
      <c r="T19" s="27">
        <v>0.26250000000000001</v>
      </c>
      <c r="U19" s="4"/>
      <c r="V19" s="21">
        <f t="shared" ref="V19:V24" si="21">(T19-S19)*24*60</f>
        <v>78</v>
      </c>
      <c r="W19" s="27"/>
      <c r="X19" s="27"/>
      <c r="Y19" s="27"/>
      <c r="Z19" s="27"/>
      <c r="AA19" s="162"/>
      <c r="AB19" s="162"/>
      <c r="AC19" s="24">
        <v>6</v>
      </c>
      <c r="AD19" s="24"/>
      <c r="AE19" s="18">
        <f t="shared" si="8"/>
        <v>-87.692307692307622</v>
      </c>
      <c r="AF19" s="20">
        <f t="shared" si="9"/>
        <v>0.95615384615384624</v>
      </c>
      <c r="AG19" s="170">
        <f>AF25</f>
        <v>0.960033710460932</v>
      </c>
    </row>
    <row r="20" spans="1:33" ht="15.75" customHeight="1">
      <c r="A20" s="193" t="s">
        <v>2775</v>
      </c>
      <c r="B20" s="35" t="s">
        <v>78</v>
      </c>
      <c r="C20" s="190" t="s">
        <v>93</v>
      </c>
      <c r="D20" s="190"/>
      <c r="E20" s="35">
        <v>53.68</v>
      </c>
      <c r="F20" s="4">
        <v>1434</v>
      </c>
      <c r="G20" s="4">
        <f t="shared" si="19"/>
        <v>76977.119999999995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1912</v>
      </c>
      <c r="N20" s="16">
        <f t="shared" si="3"/>
        <v>119.5</v>
      </c>
      <c r="O20" s="18">
        <f t="shared" si="4"/>
        <v>0</v>
      </c>
      <c r="P20" s="19">
        <f t="shared" si="5"/>
        <v>-5.5</v>
      </c>
      <c r="Q20" s="20">
        <f t="shared" si="6"/>
        <v>0.95599999999999996</v>
      </c>
      <c r="R20" s="170"/>
      <c r="S20" s="27">
        <v>0.26666666666666666</v>
      </c>
      <c r="T20" s="27">
        <v>0.29791666666666666</v>
      </c>
      <c r="U20" s="4">
        <f t="shared" ref="U20:U24" si="22">IF(S20=TIME(17,0,0),"",(S20-T19)*24*60)</f>
        <v>5.9999999999999787</v>
      </c>
      <c r="V20" s="21">
        <f t="shared" si="21"/>
        <v>45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-88</v>
      </c>
      <c r="AF20" s="20">
        <f t="shared" si="9"/>
        <v>0.95599999999999996</v>
      </c>
      <c r="AG20" s="170"/>
    </row>
    <row r="21" spans="1:33" ht="15.75" customHeight="1">
      <c r="A21" s="193" t="s">
        <v>52</v>
      </c>
      <c r="B21" s="35" t="s">
        <v>78</v>
      </c>
      <c r="C21" s="190" t="s">
        <v>2127</v>
      </c>
      <c r="D21" s="190"/>
      <c r="E21" s="35">
        <v>50.67</v>
      </c>
      <c r="F21" s="4">
        <v>2936</v>
      </c>
      <c r="G21" s="4">
        <f t="shared" si="19"/>
        <v>148767.12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1914.7826086956522</v>
      </c>
      <c r="N21" s="16">
        <f t="shared" si="3"/>
        <v>119.67391304347827</v>
      </c>
      <c r="O21" s="18">
        <f t="shared" si="4"/>
        <v>0</v>
      </c>
      <c r="P21" s="19">
        <f t="shared" si="5"/>
        <v>-5.3260869565217348</v>
      </c>
      <c r="Q21" s="20">
        <f t="shared" si="6"/>
        <v>0.95739130434782616</v>
      </c>
      <c r="R21" s="170"/>
      <c r="S21" s="27">
        <v>0.30208333333333331</v>
      </c>
      <c r="T21" s="27">
        <v>0.3659722222222222</v>
      </c>
      <c r="U21" s="4">
        <f t="shared" si="22"/>
        <v>5.9999999999999787</v>
      </c>
      <c r="V21" s="21">
        <f t="shared" si="21"/>
        <v>92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-85.217391304347757</v>
      </c>
      <c r="AF21" s="20">
        <f t="shared" si="9"/>
        <v>0.95739130434782616</v>
      </c>
      <c r="AG21" s="170"/>
    </row>
    <row r="22" spans="1:33" ht="15.75" customHeight="1">
      <c r="A22" s="193" t="s">
        <v>52</v>
      </c>
      <c r="B22" s="35" t="s">
        <v>78</v>
      </c>
      <c r="C22" s="190" t="s">
        <v>96</v>
      </c>
      <c r="D22" s="190"/>
      <c r="E22" s="35">
        <v>57.3</v>
      </c>
      <c r="F22" s="4">
        <v>1770</v>
      </c>
      <c r="G22" s="4">
        <f t="shared" si="19"/>
        <v>101421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1930.9090909090921</v>
      </c>
      <c r="N22" s="16">
        <f t="shared" si="3"/>
        <v>148.53146853146862</v>
      </c>
      <c r="O22" s="18">
        <f t="shared" si="4"/>
        <v>0</v>
      </c>
      <c r="P22" s="19">
        <f t="shared" si="5"/>
        <v>-5.3146853146852209</v>
      </c>
      <c r="Q22" s="20">
        <f t="shared" si="6"/>
        <v>0.96545454545454601</v>
      </c>
      <c r="R22" s="170"/>
      <c r="S22" s="27">
        <v>0.70833333333333337</v>
      </c>
      <c r="T22" s="27">
        <v>0.74652777777777779</v>
      </c>
      <c r="U22" s="4" t="str">
        <f t="shared" si="22"/>
        <v/>
      </c>
      <c r="V22" s="21">
        <f t="shared" si="21"/>
        <v>54.999999999999964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-69.090909090907871</v>
      </c>
      <c r="AF22" s="20">
        <f t="shared" si="9"/>
        <v>0.96545454545454601</v>
      </c>
      <c r="AG22" s="170"/>
    </row>
    <row r="23" spans="1:33" ht="15.75" customHeight="1">
      <c r="A23" s="193" t="s">
        <v>2775</v>
      </c>
      <c r="B23" s="35" t="s">
        <v>78</v>
      </c>
      <c r="C23" s="190" t="s">
        <v>95</v>
      </c>
      <c r="D23" s="190"/>
      <c r="E23" s="35">
        <v>53.68</v>
      </c>
      <c r="F23" s="4">
        <v>1563</v>
      </c>
      <c r="G23" s="4">
        <f t="shared" si="19"/>
        <v>83901.84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1442.7692307692323</v>
      </c>
      <c r="N23" s="16">
        <f t="shared" si="3"/>
        <v>90.173076923077019</v>
      </c>
      <c r="O23" s="18">
        <f t="shared" si="4"/>
        <v>0</v>
      </c>
      <c r="P23" s="19">
        <f t="shared" si="5"/>
        <v>-3.5769230769229807</v>
      </c>
      <c r="Q23" s="20">
        <f t="shared" si="6"/>
        <v>0.96184615384615491</v>
      </c>
      <c r="R23" s="170"/>
      <c r="S23" s="27">
        <v>0.75</v>
      </c>
      <c r="T23" s="27">
        <v>0.79513888888888884</v>
      </c>
      <c r="U23" s="4">
        <f t="shared" si="22"/>
        <v>4.9999999999999822</v>
      </c>
      <c r="V23" s="21">
        <f t="shared" si="21"/>
        <v>64.999999999999929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-57.230769230767692</v>
      </c>
      <c r="AF23" s="20">
        <f t="shared" si="9"/>
        <v>0.96184615384615491</v>
      </c>
      <c r="AG23" s="170"/>
    </row>
    <row r="24" spans="1:33" ht="15.75" customHeight="1">
      <c r="A24" s="193" t="s">
        <v>52</v>
      </c>
      <c r="B24" s="35" t="s">
        <v>78</v>
      </c>
      <c r="C24" s="190" t="s">
        <v>94</v>
      </c>
      <c r="D24" s="190"/>
      <c r="E24" s="35">
        <v>50.49</v>
      </c>
      <c r="F24" s="4">
        <v>2024</v>
      </c>
      <c r="G24" s="4">
        <f t="shared" si="19"/>
        <v>102191.76000000001</v>
      </c>
      <c r="H24" s="21" t="s">
        <v>133</v>
      </c>
      <c r="I24" s="15">
        <v>15</v>
      </c>
      <c r="J24" s="17">
        <v>2000</v>
      </c>
      <c r="K24" s="16">
        <f t="shared" si="1"/>
        <v>133.33333333333334</v>
      </c>
      <c r="L24" s="15">
        <v>15</v>
      </c>
      <c r="M24" s="17">
        <f t="shared" si="20"/>
        <v>1927.6190476190498</v>
      </c>
      <c r="N24" s="16">
        <f t="shared" si="3"/>
        <v>128.50793650793665</v>
      </c>
      <c r="O24" s="18">
        <f t="shared" si="4"/>
        <v>0</v>
      </c>
      <c r="P24" s="19">
        <f t="shared" si="5"/>
        <v>-4.8253968253966946</v>
      </c>
      <c r="Q24" s="20">
        <f t="shared" si="6"/>
        <v>0.96380952380952478</v>
      </c>
      <c r="R24" s="170"/>
      <c r="S24" s="27">
        <v>0.79999999999999993</v>
      </c>
      <c r="T24" s="27">
        <v>0.84374999999999989</v>
      </c>
      <c r="U24" s="4">
        <f t="shared" si="22"/>
        <v>6.9999999999999751</v>
      </c>
      <c r="V24" s="21">
        <f t="shared" si="21"/>
        <v>62.999999999999936</v>
      </c>
      <c r="W24" s="22"/>
      <c r="X24" s="27"/>
      <c r="Y24" s="27"/>
      <c r="Z24" s="27"/>
      <c r="AA24" s="162"/>
      <c r="AB24" s="162"/>
      <c r="AC24" s="24"/>
      <c r="AD24" s="24"/>
      <c r="AE24" s="18">
        <f t="shared" si="8"/>
        <v>-72.380952380950248</v>
      </c>
      <c r="AF24" s="20">
        <f t="shared" si="9"/>
        <v>0.96380952380952489</v>
      </c>
      <c r="AG24" s="170"/>
    </row>
    <row r="25" spans="1:33" ht="15.75" customHeight="1">
      <c r="A25" s="193" t="s">
        <v>2776</v>
      </c>
      <c r="B25" s="35" t="s">
        <v>48</v>
      </c>
      <c r="C25" s="171"/>
      <c r="D25" s="171"/>
      <c r="E25" s="36"/>
      <c r="F25" s="4"/>
      <c r="G25" s="4"/>
      <c r="H25" s="4"/>
      <c r="I25" s="29">
        <v>15</v>
      </c>
      <c r="J25" s="17">
        <v>1916.6666666666667</v>
      </c>
      <c r="K25" s="16">
        <f t="shared" si="1"/>
        <v>127.77777777777779</v>
      </c>
      <c r="L25" s="29">
        <v>15</v>
      </c>
      <c r="M25" s="17">
        <f>AVERAGE(M19:M24)</f>
        <v>1840.0646117167864</v>
      </c>
      <c r="N25" s="16">
        <f t="shared" si="3"/>
        <v>122.67097411445243</v>
      </c>
      <c r="O25" s="18">
        <f t="shared" si="4"/>
        <v>0</v>
      </c>
      <c r="P25" s="19">
        <f t="shared" si="5"/>
        <v>-5.1068036633253513</v>
      </c>
      <c r="Q25" s="20">
        <f t="shared" si="6"/>
        <v>0.960033710460932</v>
      </c>
      <c r="R25" s="170"/>
      <c r="S25" s="27"/>
      <c r="T25" s="27"/>
      <c r="U25" s="16"/>
      <c r="V25" s="21"/>
      <c r="W25" s="16"/>
      <c r="X25" s="16"/>
      <c r="Y25" s="30">
        <f>SUM(Y19:Y24)</f>
        <v>0</v>
      </c>
      <c r="Z25" s="30">
        <f>SUM(Z19:Z24)</f>
        <v>0</v>
      </c>
      <c r="AA25" s="166"/>
      <c r="AB25" s="166"/>
      <c r="AC25" s="30">
        <v>6</v>
      </c>
      <c r="AD25" s="30">
        <f>SUM(AD19:AD24)</f>
        <v>0</v>
      </c>
      <c r="AE25" s="18">
        <f t="shared" si="8"/>
        <v>-76.602054949880312</v>
      </c>
      <c r="AF25" s="20">
        <f t="shared" si="9"/>
        <v>0.960033710460932</v>
      </c>
      <c r="AG25" s="170"/>
    </row>
    <row r="26" spans="1:33" ht="15.75" customHeight="1">
      <c r="A26" s="191" t="s">
        <v>2777</v>
      </c>
      <c r="B26" s="35" t="s">
        <v>97</v>
      </c>
      <c r="C26" s="190" t="s">
        <v>98</v>
      </c>
      <c r="D26" s="190"/>
      <c r="E26" s="35">
        <v>31.29</v>
      </c>
      <c r="F26" s="4">
        <v>6600</v>
      </c>
      <c r="G26" s="4">
        <f t="shared" ref="G26:G31" si="23">E26*F26</f>
        <v>206514</v>
      </c>
      <c r="H26" s="21">
        <v>2</v>
      </c>
      <c r="I26" s="15">
        <v>18</v>
      </c>
      <c r="J26" s="17">
        <v>2400</v>
      </c>
      <c r="K26" s="16">
        <f t="shared" si="1"/>
        <v>133.33333333333334</v>
      </c>
      <c r="L26" s="15">
        <v>18</v>
      </c>
      <c r="M26" s="17">
        <f t="shared" ref="M26:M31" si="24">F26/V26*60</f>
        <v>2289.0173410404623</v>
      </c>
      <c r="N26" s="16">
        <f t="shared" si="3"/>
        <v>127.16763005780346</v>
      </c>
      <c r="O26" s="18">
        <f t="shared" si="4"/>
        <v>0</v>
      </c>
      <c r="P26" s="19">
        <f t="shared" si="5"/>
        <v>-6.1657032755298786</v>
      </c>
      <c r="Q26" s="20">
        <f t="shared" si="6"/>
        <v>0.95375722543352592</v>
      </c>
      <c r="R26" s="170">
        <f>Q32</f>
        <v>0.95511216544786326</v>
      </c>
      <c r="S26" s="27">
        <v>8.3333333333333329E-2</v>
      </c>
      <c r="T26" s="27">
        <v>0.20347222222222222</v>
      </c>
      <c r="U26" s="4"/>
      <c r="V26" s="21">
        <f t="shared" ref="V26:V31" si="25">(T26-S26)*24*60</f>
        <v>173</v>
      </c>
      <c r="W26" s="22">
        <f>T26</f>
        <v>0.20347222222222222</v>
      </c>
      <c r="X26" s="22">
        <f>S27</f>
        <v>0.22361111111111112</v>
      </c>
      <c r="Y26" s="22"/>
      <c r="Z26" s="22"/>
      <c r="AA26" s="162"/>
      <c r="AB26" s="162"/>
      <c r="AC26" s="24">
        <v>6</v>
      </c>
      <c r="AD26" s="24"/>
      <c r="AE26" s="18">
        <f t="shared" si="8"/>
        <v>-110.98265895953773</v>
      </c>
      <c r="AF26" s="20">
        <f t="shared" si="9"/>
        <v>0.95375722543352592</v>
      </c>
      <c r="AG26" s="170">
        <f>AF32</f>
        <v>0.95511216544786315</v>
      </c>
    </row>
    <row r="27" spans="1:33" ht="15.75" customHeight="1">
      <c r="A27" s="191" t="s">
        <v>2778</v>
      </c>
      <c r="B27" s="35" t="s">
        <v>97</v>
      </c>
      <c r="C27" s="190" t="s">
        <v>99</v>
      </c>
      <c r="D27" s="190"/>
      <c r="E27" s="35">
        <v>25.98</v>
      </c>
      <c r="F27" s="4">
        <v>3346</v>
      </c>
      <c r="G27" s="4">
        <f t="shared" si="23"/>
        <v>86929.08</v>
      </c>
      <c r="H27" s="21" t="s">
        <v>133</v>
      </c>
      <c r="I27" s="15">
        <v>21</v>
      </c>
      <c r="J27" s="17">
        <v>2400</v>
      </c>
      <c r="K27" s="16">
        <f t="shared" si="1"/>
        <v>114.28571428571429</v>
      </c>
      <c r="L27" s="15">
        <v>21</v>
      </c>
      <c r="M27" s="17">
        <f t="shared" si="24"/>
        <v>2281.3636363636374</v>
      </c>
      <c r="N27" s="16">
        <f t="shared" si="3"/>
        <v>108.63636363636368</v>
      </c>
      <c r="O27" s="18">
        <f t="shared" si="4"/>
        <v>0</v>
      </c>
      <c r="P27" s="19">
        <f t="shared" si="5"/>
        <v>-5.6493506493506089</v>
      </c>
      <c r="Q27" s="20">
        <f t="shared" si="6"/>
        <v>0.95056818181818215</v>
      </c>
      <c r="R27" s="170"/>
      <c r="S27" s="27">
        <v>0.22361111111111112</v>
      </c>
      <c r="T27" s="27">
        <v>0.28472222222222221</v>
      </c>
      <c r="U27" s="4">
        <f t="shared" ref="U27:U31" si="26">(S27-T26)*24*60</f>
        <v>29.000000000000018</v>
      </c>
      <c r="V27" s="21">
        <f t="shared" si="25"/>
        <v>87.999999999999972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-118.6363636363626</v>
      </c>
      <c r="AF27" s="20">
        <f t="shared" si="9"/>
        <v>0.95056818181818226</v>
      </c>
      <c r="AG27" s="170"/>
    </row>
    <row r="28" spans="1:33" ht="15.75" customHeight="1">
      <c r="A28" s="191" t="s">
        <v>2778</v>
      </c>
      <c r="B28" s="35" t="s">
        <v>97</v>
      </c>
      <c r="C28" s="190" t="s">
        <v>100</v>
      </c>
      <c r="D28" s="190"/>
      <c r="E28" s="35">
        <v>26.2</v>
      </c>
      <c r="F28" s="4">
        <v>5703</v>
      </c>
      <c r="G28" s="4">
        <f t="shared" si="23"/>
        <v>149418.6</v>
      </c>
      <c r="H28" s="21" t="s">
        <v>133</v>
      </c>
      <c r="I28" s="15">
        <v>20</v>
      </c>
      <c r="J28" s="17">
        <v>2400</v>
      </c>
      <c r="K28" s="16">
        <f t="shared" si="1"/>
        <v>120</v>
      </c>
      <c r="L28" s="15">
        <v>20</v>
      </c>
      <c r="M28" s="17">
        <f t="shared" si="24"/>
        <v>2296.5100671140935</v>
      </c>
      <c r="N28" s="16">
        <f t="shared" si="3"/>
        <v>114.82550335570468</v>
      </c>
      <c r="O28" s="18">
        <f t="shared" si="4"/>
        <v>0</v>
      </c>
      <c r="P28" s="19">
        <f t="shared" si="5"/>
        <v>-5.1744966442953171</v>
      </c>
      <c r="Q28" s="20">
        <f t="shared" si="6"/>
        <v>0.95687919463087234</v>
      </c>
      <c r="R28" s="170"/>
      <c r="S28" s="27">
        <v>0.2895833333333333</v>
      </c>
      <c r="T28" s="27">
        <v>0.39305555555555555</v>
      </c>
      <c r="U28" s="4">
        <f t="shared" si="26"/>
        <v>6.9999999999999751</v>
      </c>
      <c r="V28" s="21">
        <f t="shared" si="25"/>
        <v>149.00000000000003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-103.48993288590646</v>
      </c>
      <c r="AF28" s="20">
        <f t="shared" si="9"/>
        <v>0.95687919463087234</v>
      </c>
      <c r="AG28" s="170"/>
    </row>
    <row r="29" spans="1:33" ht="15.75" customHeight="1">
      <c r="A29" s="191" t="s">
        <v>54</v>
      </c>
      <c r="B29" s="35" t="s">
        <v>97</v>
      </c>
      <c r="C29" s="190" t="s">
        <v>101</v>
      </c>
      <c r="D29" s="190"/>
      <c r="E29" s="35">
        <v>25.99</v>
      </c>
      <c r="F29" s="4">
        <v>4421</v>
      </c>
      <c r="G29" s="4">
        <f t="shared" si="23"/>
        <v>114901.79</v>
      </c>
      <c r="H29" s="21" t="s">
        <v>133</v>
      </c>
      <c r="I29" s="15">
        <v>14</v>
      </c>
      <c r="J29" s="17">
        <v>2400</v>
      </c>
      <c r="K29" s="16">
        <f t="shared" si="1"/>
        <v>171.42857142857142</v>
      </c>
      <c r="L29" s="15">
        <v>14</v>
      </c>
      <c r="M29" s="17">
        <f t="shared" si="24"/>
        <v>2286.7241379310349</v>
      </c>
      <c r="N29" s="16">
        <f t="shared" si="3"/>
        <v>163.33743842364535</v>
      </c>
      <c r="O29" s="18">
        <f t="shared" si="4"/>
        <v>0</v>
      </c>
      <c r="P29" s="19">
        <f t="shared" si="5"/>
        <v>-8.0911330049260641</v>
      </c>
      <c r="Q29" s="20">
        <f t="shared" si="6"/>
        <v>0.95280172413793129</v>
      </c>
      <c r="R29" s="170"/>
      <c r="S29" s="27">
        <v>0.3972222222222222</v>
      </c>
      <c r="T29" s="27">
        <v>0.47777777777777775</v>
      </c>
      <c r="U29" s="4">
        <f t="shared" si="26"/>
        <v>5.9999999999999787</v>
      </c>
      <c r="V29" s="21">
        <f t="shared" si="25"/>
        <v>115.99999999999999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-113.27586206896513</v>
      </c>
      <c r="AF29" s="20">
        <f t="shared" si="9"/>
        <v>0.95280172413793118</v>
      </c>
      <c r="AG29" s="170"/>
    </row>
    <row r="30" spans="1:33" ht="15.75" customHeight="1">
      <c r="A30" s="191" t="s">
        <v>54</v>
      </c>
      <c r="B30" s="35" t="s">
        <v>97</v>
      </c>
      <c r="C30" s="190" t="s">
        <v>102</v>
      </c>
      <c r="D30" s="190"/>
      <c r="E30" s="35">
        <v>26.18</v>
      </c>
      <c r="F30" s="4">
        <v>1847</v>
      </c>
      <c r="G30" s="4">
        <f t="shared" si="23"/>
        <v>48354.46</v>
      </c>
      <c r="H30" s="21" t="s">
        <v>133</v>
      </c>
      <c r="I30" s="15">
        <v>19</v>
      </c>
      <c r="J30" s="17">
        <v>2400</v>
      </c>
      <c r="K30" s="16">
        <f t="shared" si="1"/>
        <v>126.31578947368421</v>
      </c>
      <c r="L30" s="15">
        <v>19</v>
      </c>
      <c r="M30" s="17">
        <f t="shared" si="24"/>
        <v>2308.7500000000009</v>
      </c>
      <c r="N30" s="16">
        <f t="shared" si="3"/>
        <v>121.51315789473689</v>
      </c>
      <c r="O30" s="18">
        <f t="shared" si="4"/>
        <v>0</v>
      </c>
      <c r="P30" s="19">
        <f t="shared" si="5"/>
        <v>-4.8026315789473131</v>
      </c>
      <c r="Q30" s="20">
        <f t="shared" si="6"/>
        <v>0.96197916666666705</v>
      </c>
      <c r="R30" s="170"/>
      <c r="S30" s="27">
        <v>0.48333333333333328</v>
      </c>
      <c r="T30" s="27">
        <v>0.51666666666666661</v>
      </c>
      <c r="U30" s="4">
        <f t="shared" si="26"/>
        <v>7.9999999999999716</v>
      </c>
      <c r="V30" s="21">
        <f t="shared" si="25"/>
        <v>47.999999999999986</v>
      </c>
      <c r="W30" s="22">
        <f>T30</f>
        <v>0.51666666666666661</v>
      </c>
      <c r="X30" s="22">
        <f>S31</f>
        <v>0.55555555555555547</v>
      </c>
      <c r="Y30" s="22"/>
      <c r="Z30" s="22"/>
      <c r="AA30" s="162"/>
      <c r="AB30" s="162"/>
      <c r="AC30" s="24"/>
      <c r="AD30" s="24"/>
      <c r="AE30" s="18">
        <f t="shared" si="8"/>
        <v>-91.249999999999091</v>
      </c>
      <c r="AF30" s="20">
        <f t="shared" si="9"/>
        <v>0.96197916666666705</v>
      </c>
      <c r="AG30" s="170"/>
    </row>
    <row r="31" spans="1:33" ht="15.75" customHeight="1">
      <c r="A31" s="191" t="s">
        <v>54</v>
      </c>
      <c r="B31" s="35" t="s">
        <v>97</v>
      </c>
      <c r="C31" s="190" t="s">
        <v>98</v>
      </c>
      <c r="D31" s="190"/>
      <c r="E31" s="35">
        <v>31.29</v>
      </c>
      <c r="F31" s="4">
        <v>3666</v>
      </c>
      <c r="G31" s="4">
        <f t="shared" si="23"/>
        <v>114709.14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4"/>
        <v>2291.2500000000009</v>
      </c>
      <c r="N31" s="16">
        <f t="shared" si="3"/>
        <v>127.29166666666671</v>
      </c>
      <c r="O31" s="18">
        <f t="shared" si="4"/>
        <v>0</v>
      </c>
      <c r="P31" s="19">
        <f t="shared" si="5"/>
        <v>-6.0416666666666288</v>
      </c>
      <c r="Q31" s="20">
        <f t="shared" si="6"/>
        <v>0.95468750000000024</v>
      </c>
      <c r="R31" s="170"/>
      <c r="S31" s="27">
        <v>0.55555555555555547</v>
      </c>
      <c r="T31" s="27">
        <v>0.62222222222222212</v>
      </c>
      <c r="U31" s="4">
        <f t="shared" si="26"/>
        <v>55.999999999999957</v>
      </c>
      <c r="V31" s="21">
        <f t="shared" si="25"/>
        <v>95.999999999999972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-108.74999999999909</v>
      </c>
      <c r="AF31" s="20">
        <f t="shared" si="9"/>
        <v>0.95468750000000036</v>
      </c>
      <c r="AG31" s="170"/>
    </row>
    <row r="32" spans="1:33" ht="15.75" customHeight="1">
      <c r="A32" s="191" t="s">
        <v>54</v>
      </c>
      <c r="B32" s="35" t="s">
        <v>48</v>
      </c>
      <c r="C32" s="171"/>
      <c r="D32" s="171"/>
      <c r="E32" s="36"/>
      <c r="F32" s="4"/>
      <c r="G32" s="4"/>
      <c r="H32" s="4"/>
      <c r="I32" s="29">
        <v>18.333333333333332</v>
      </c>
      <c r="J32" s="17">
        <v>2400</v>
      </c>
      <c r="K32" s="16">
        <f t="shared" si="1"/>
        <v>130.90909090909091</v>
      </c>
      <c r="L32" s="29">
        <v>18.333333333333332</v>
      </c>
      <c r="M32" s="17">
        <f>AVERAGE(M26:M31)</f>
        <v>2292.2691970748715</v>
      </c>
      <c r="N32" s="16">
        <f t="shared" si="3"/>
        <v>125.032865294993</v>
      </c>
      <c r="O32" s="18">
        <f t="shared" si="4"/>
        <v>0</v>
      </c>
      <c r="P32" s="19">
        <f t="shared" si="5"/>
        <v>-5.8762256140979048</v>
      </c>
      <c r="Q32" s="20">
        <f t="shared" si="6"/>
        <v>0.95511216544786326</v>
      </c>
      <c r="R32" s="170"/>
      <c r="S32" s="27"/>
      <c r="T32" s="27"/>
      <c r="U32" s="4"/>
      <c r="V32" s="21"/>
      <c r="W32" s="4"/>
      <c r="X32" s="4"/>
      <c r="Y32" s="30">
        <f>SUM(Y26:Y31)</f>
        <v>0</v>
      </c>
      <c r="Z32" s="30">
        <f>SUM(Z26:Z31)</f>
        <v>0</v>
      </c>
      <c r="AA32" s="166"/>
      <c r="AB32" s="166"/>
      <c r="AC32" s="30">
        <v>6</v>
      </c>
      <c r="AD32" s="30">
        <f>SUM(AD26:AD31)</f>
        <v>0</v>
      </c>
      <c r="AE32" s="18">
        <f t="shared" si="8"/>
        <v>-107.7308029251285</v>
      </c>
      <c r="AF32" s="20">
        <f t="shared" si="9"/>
        <v>0.95511216544786315</v>
      </c>
      <c r="AG32" s="170"/>
    </row>
    <row r="33" spans="1:33" ht="15.75" customHeight="1">
      <c r="A33" s="188" t="s">
        <v>2779</v>
      </c>
      <c r="B33" s="35" t="s">
        <v>97</v>
      </c>
      <c r="C33" s="163" t="s">
        <v>103</v>
      </c>
      <c r="D33" s="163"/>
      <c r="E33" s="35">
        <v>26.2</v>
      </c>
      <c r="F33" s="4">
        <v>4700</v>
      </c>
      <c r="G33" s="4">
        <f t="shared" ref="G33:G39" si="27">E33*F33</f>
        <v>123140</v>
      </c>
      <c r="H33" s="21">
        <v>2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ref="M33:M39" si="28">F33/V33*60</f>
        <v>2292.6829268292686</v>
      </c>
      <c r="N33" s="16">
        <f t="shared" si="3"/>
        <v>127.37127371273715</v>
      </c>
      <c r="O33" s="18">
        <f t="shared" si="4"/>
        <v>0</v>
      </c>
      <c r="P33" s="19">
        <f t="shared" si="5"/>
        <v>-5.9620596205961931</v>
      </c>
      <c r="Q33" s="20">
        <f t="shared" si="6"/>
        <v>0.9552845528455286</v>
      </c>
      <c r="R33" s="170">
        <f>Q40</f>
        <v>0.95630307533767833</v>
      </c>
      <c r="S33" s="27">
        <v>8.3333333333333329E-2</v>
      </c>
      <c r="T33" s="27">
        <v>0.16874999999999998</v>
      </c>
      <c r="U33" s="4"/>
      <c r="V33" s="21">
        <f t="shared" ref="V33:V39" si="29">(T33-S33)*24*60</f>
        <v>122.99999999999999</v>
      </c>
      <c r="W33" s="27">
        <f>T33</f>
        <v>0.16874999999999998</v>
      </c>
      <c r="X33" s="27">
        <f>S34</f>
        <v>0.18680555555555553</v>
      </c>
      <c r="Y33" s="27"/>
      <c r="Z33" s="27"/>
      <c r="AA33" s="162"/>
      <c r="AB33" s="162"/>
      <c r="AC33" s="24">
        <v>7</v>
      </c>
      <c r="AD33" s="24"/>
      <c r="AE33" s="18">
        <f t="shared" si="8"/>
        <v>-107.31707317073142</v>
      </c>
      <c r="AF33" s="20">
        <f t="shared" si="9"/>
        <v>0.9552845528455286</v>
      </c>
      <c r="AG33" s="170">
        <f>AF40</f>
        <v>0.95630307533767833</v>
      </c>
    </row>
    <row r="34" spans="1:33" ht="15.75" customHeight="1">
      <c r="A34" s="188" t="s">
        <v>59</v>
      </c>
      <c r="B34" s="35" t="s">
        <v>97</v>
      </c>
      <c r="C34" s="163" t="s">
        <v>104</v>
      </c>
      <c r="D34" s="163"/>
      <c r="E34" s="35">
        <v>20.52</v>
      </c>
      <c r="F34" s="4">
        <v>4136</v>
      </c>
      <c r="G34" s="4">
        <f t="shared" si="27"/>
        <v>84870.720000000001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2297.7777777777783</v>
      </c>
      <c r="N34" s="16">
        <f t="shared" si="3"/>
        <v>127.65432098765434</v>
      </c>
      <c r="O34" s="18">
        <f t="shared" si="4"/>
        <v>0</v>
      </c>
      <c r="P34" s="19">
        <f t="shared" si="5"/>
        <v>-5.6790123456789985</v>
      </c>
      <c r="Q34" s="20">
        <f t="shared" si="6"/>
        <v>0.95740740740740748</v>
      </c>
      <c r="R34" s="170"/>
      <c r="S34" s="27">
        <v>0.18680555555555553</v>
      </c>
      <c r="T34" s="27">
        <v>0.26180555555555551</v>
      </c>
      <c r="U34" s="4">
        <f t="shared" ref="U34:U39" si="30">(S34-T33)*24*60</f>
        <v>25.999999999999986</v>
      </c>
      <c r="V34" s="21">
        <f t="shared" si="29"/>
        <v>107.99999999999997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-102.22222222222172</v>
      </c>
      <c r="AF34" s="20">
        <f t="shared" si="9"/>
        <v>0.9574074074074076</v>
      </c>
      <c r="AG34" s="170"/>
    </row>
    <row r="35" spans="1:33">
      <c r="A35" s="189" t="s">
        <v>2779</v>
      </c>
      <c r="B35" s="35" t="s">
        <v>97</v>
      </c>
      <c r="C35" s="163" t="s">
        <v>105</v>
      </c>
      <c r="D35" s="163"/>
      <c r="E35" s="35">
        <v>26.39</v>
      </c>
      <c r="F35" s="4">
        <v>4200</v>
      </c>
      <c r="G35" s="4">
        <f t="shared" si="27"/>
        <v>110838</v>
      </c>
      <c r="H35" s="21">
        <v>2</v>
      </c>
      <c r="I35" s="15">
        <v>19</v>
      </c>
      <c r="J35" s="17">
        <v>2400</v>
      </c>
      <c r="K35" s="16">
        <f t="shared" si="1"/>
        <v>126.31578947368421</v>
      </c>
      <c r="L35" s="15">
        <v>19</v>
      </c>
      <c r="M35" s="17">
        <f t="shared" si="28"/>
        <v>2290.909090909091</v>
      </c>
      <c r="N35" s="16">
        <f t="shared" si="3"/>
        <v>120.57416267942584</v>
      </c>
      <c r="O35" s="18">
        <f t="shared" si="4"/>
        <v>0</v>
      </c>
      <c r="P35" s="19">
        <f t="shared" si="5"/>
        <v>-5.7416267942583659</v>
      </c>
      <c r="Q35" s="20">
        <f t="shared" si="6"/>
        <v>0.95454545454545459</v>
      </c>
      <c r="R35" s="170"/>
      <c r="S35" s="27">
        <v>0.26736111111111105</v>
      </c>
      <c r="T35" s="27">
        <v>0.34374999999999994</v>
      </c>
      <c r="U35" s="4">
        <f t="shared" si="30"/>
        <v>7.9999999999999716</v>
      </c>
      <c r="V35" s="21">
        <f t="shared" si="29"/>
        <v>110.00000000000001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-109.09090909090901</v>
      </c>
      <c r="AF35" s="20">
        <f t="shared" si="9"/>
        <v>0.95454545454545459</v>
      </c>
      <c r="AG35" s="170"/>
    </row>
    <row r="36" spans="1:33">
      <c r="A36" s="189" t="s">
        <v>59</v>
      </c>
      <c r="B36" s="35" t="s">
        <v>97</v>
      </c>
      <c r="C36" s="163" t="s">
        <v>107</v>
      </c>
      <c r="D36" s="163"/>
      <c r="E36" s="35">
        <v>20.52</v>
      </c>
      <c r="F36" s="4">
        <v>2949</v>
      </c>
      <c r="G36" s="4">
        <f t="shared" si="27"/>
        <v>60513.479999999996</v>
      </c>
      <c r="H36" s="21" t="s">
        <v>133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2297.9220779220786</v>
      </c>
      <c r="N36" s="16">
        <f t="shared" si="3"/>
        <v>127.66233766233771</v>
      </c>
      <c r="O36" s="18">
        <f t="shared" si="4"/>
        <v>0</v>
      </c>
      <c r="P36" s="19">
        <f t="shared" si="5"/>
        <v>-5.6709956709956373</v>
      </c>
      <c r="Q36" s="20">
        <f t="shared" si="6"/>
        <v>0.95746753246753269</v>
      </c>
      <c r="R36" s="170"/>
      <c r="S36" s="27">
        <v>0.3479166666666666</v>
      </c>
      <c r="T36" s="27">
        <v>0.4013888888888888</v>
      </c>
      <c r="U36" s="4">
        <f t="shared" si="30"/>
        <v>5.9999999999999787</v>
      </c>
      <c r="V36" s="21">
        <f t="shared" si="29"/>
        <v>76.999999999999972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-102.07792207792136</v>
      </c>
      <c r="AF36" s="20">
        <f t="shared" si="9"/>
        <v>0.9574675324675328</v>
      </c>
      <c r="AG36" s="170"/>
    </row>
    <row r="37" spans="1:33">
      <c r="A37" s="189" t="s">
        <v>59</v>
      </c>
      <c r="B37" s="35" t="s">
        <v>97</v>
      </c>
      <c r="C37" s="163" t="s">
        <v>304</v>
      </c>
      <c r="D37" s="163"/>
      <c r="E37" s="35">
        <v>22.69</v>
      </c>
      <c r="F37" s="4">
        <v>5744</v>
      </c>
      <c r="G37" s="4">
        <f t="shared" si="27"/>
        <v>130331.36</v>
      </c>
      <c r="H37" s="21" t="s">
        <v>133</v>
      </c>
      <c r="I37" s="15">
        <v>15</v>
      </c>
      <c r="J37" s="17">
        <v>2400</v>
      </c>
      <c r="K37" s="16">
        <f t="shared" si="1"/>
        <v>160</v>
      </c>
      <c r="L37" s="15">
        <v>15</v>
      </c>
      <c r="M37" s="17">
        <f t="shared" si="28"/>
        <v>2282.3841059602655</v>
      </c>
      <c r="N37" s="16">
        <f t="shared" si="3"/>
        <v>152.15894039735105</v>
      </c>
      <c r="O37" s="18">
        <f t="shared" si="4"/>
        <v>0</v>
      </c>
      <c r="P37" s="19">
        <f t="shared" si="5"/>
        <v>-7.8410596026489543</v>
      </c>
      <c r="Q37" s="20">
        <f t="shared" si="6"/>
        <v>0.95099337748344404</v>
      </c>
      <c r="R37" s="170"/>
      <c r="S37" s="27">
        <v>0.40486111111111101</v>
      </c>
      <c r="T37" s="27">
        <v>0.50972222222222208</v>
      </c>
      <c r="U37" s="4">
        <f t="shared" si="30"/>
        <v>4.9999999999999822</v>
      </c>
      <c r="V37" s="21">
        <f t="shared" si="29"/>
        <v>150.99999999999994</v>
      </c>
      <c r="W37" s="22">
        <f>T37</f>
        <v>0.50972222222222208</v>
      </c>
      <c r="X37" s="22">
        <f>S38</f>
        <v>0.54930555555555538</v>
      </c>
      <c r="Y37" s="22"/>
      <c r="Z37" s="22"/>
      <c r="AA37" s="162"/>
      <c r="AB37" s="162"/>
      <c r="AC37" s="24"/>
      <c r="AD37" s="24"/>
      <c r="AE37" s="18">
        <f t="shared" si="8"/>
        <v>-117.61589403973448</v>
      </c>
      <c r="AF37" s="20">
        <f t="shared" si="9"/>
        <v>0.95099337748344392</v>
      </c>
      <c r="AG37" s="170"/>
    </row>
    <row r="38" spans="1:33">
      <c r="A38" s="189" t="s">
        <v>2779</v>
      </c>
      <c r="B38" s="35" t="s">
        <v>97</v>
      </c>
      <c r="C38" s="163" t="s">
        <v>103</v>
      </c>
      <c r="D38" s="163"/>
      <c r="E38" s="35">
        <v>26.2</v>
      </c>
      <c r="F38" s="4">
        <v>2585</v>
      </c>
      <c r="G38" s="4">
        <f t="shared" si="27"/>
        <v>67727</v>
      </c>
      <c r="H38" s="21" t="s">
        <v>133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2280.8823529411793</v>
      </c>
      <c r="N38" s="16">
        <f t="shared" si="3"/>
        <v>126.71568627450996</v>
      </c>
      <c r="O38" s="18">
        <f t="shared" si="4"/>
        <v>0</v>
      </c>
      <c r="P38" s="19">
        <f t="shared" si="5"/>
        <v>-6.6176470588233798</v>
      </c>
      <c r="Q38" s="20">
        <f t="shared" si="6"/>
        <v>0.9503676470588247</v>
      </c>
      <c r="R38" s="170"/>
      <c r="S38" s="27">
        <v>0.54930555555555538</v>
      </c>
      <c r="T38" s="27">
        <v>0.59652777777777755</v>
      </c>
      <c r="U38" s="4">
        <f t="shared" si="30"/>
        <v>56.999999999999957</v>
      </c>
      <c r="V38" s="21">
        <f t="shared" si="29"/>
        <v>67.999999999999915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-119.11764705882069</v>
      </c>
      <c r="AF38" s="20">
        <f t="shared" si="9"/>
        <v>0.9503676470588247</v>
      </c>
      <c r="AG38" s="170"/>
    </row>
    <row r="39" spans="1:33">
      <c r="A39" s="189" t="s">
        <v>59</v>
      </c>
      <c r="B39" s="35" t="s">
        <v>97</v>
      </c>
      <c r="C39" s="163" t="s">
        <v>105</v>
      </c>
      <c r="D39" s="163"/>
      <c r="E39" s="35">
        <v>26.39</v>
      </c>
      <c r="F39" s="4">
        <v>2091</v>
      </c>
      <c r="G39" s="4">
        <f t="shared" si="27"/>
        <v>55181.49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2323.3333333333344</v>
      </c>
      <c r="N39" s="16">
        <f t="shared" si="3"/>
        <v>122.28070175438602</v>
      </c>
      <c r="O39" s="18">
        <f t="shared" si="4"/>
        <v>0</v>
      </c>
      <c r="P39" s="19">
        <f t="shared" si="5"/>
        <v>-4.0350877192981898</v>
      </c>
      <c r="Q39" s="20">
        <f t="shared" si="6"/>
        <v>0.968055555555556</v>
      </c>
      <c r="R39" s="170"/>
      <c r="S39" s="27">
        <v>0.6006944444444442</v>
      </c>
      <c r="T39" s="27">
        <v>0.63819444444444418</v>
      </c>
      <c r="U39" s="4">
        <f t="shared" si="30"/>
        <v>5.9999999999999787</v>
      </c>
      <c r="V39" s="21">
        <f t="shared" si="29"/>
        <v>53.999999999999972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-76.666666666665606</v>
      </c>
      <c r="AF39" s="20">
        <f t="shared" si="9"/>
        <v>0.968055555555556</v>
      </c>
      <c r="AG39" s="170"/>
    </row>
    <row r="40" spans="1:33">
      <c r="A40" s="189" t="s">
        <v>59</v>
      </c>
      <c r="B40" s="16" t="s">
        <v>48</v>
      </c>
      <c r="C40" s="171"/>
      <c r="D40" s="171"/>
      <c r="E40" s="36"/>
      <c r="F40" s="16"/>
      <c r="G40" s="16"/>
      <c r="H40" s="4"/>
      <c r="I40" s="29">
        <v>17.857142857142858</v>
      </c>
      <c r="J40" s="17">
        <v>2400</v>
      </c>
      <c r="K40" s="16">
        <f t="shared" si="1"/>
        <v>134.4</v>
      </c>
      <c r="L40" s="29">
        <v>17.857142857142858</v>
      </c>
      <c r="M40" s="17">
        <f>AVERAGE(M33:M39)</f>
        <v>2295.1273808104279</v>
      </c>
      <c r="N40" s="16">
        <f t="shared" si="3"/>
        <v>128.52713332538397</v>
      </c>
      <c r="O40" s="18">
        <f t="shared" si="4"/>
        <v>0</v>
      </c>
      <c r="P40" s="19">
        <f t="shared" si="5"/>
        <v>-5.8728666746160343</v>
      </c>
      <c r="Q40" s="20">
        <f t="shared" si="6"/>
        <v>0.95630307533767833</v>
      </c>
      <c r="R40" s="170"/>
      <c r="S40" s="27"/>
      <c r="T40" s="27"/>
      <c r="U40" s="16"/>
      <c r="V40" s="21"/>
      <c r="W40" s="16"/>
      <c r="X40" s="16"/>
      <c r="Y40" s="30">
        <f>SUM(Y33:Y39)</f>
        <v>0</v>
      </c>
      <c r="Z40" s="30">
        <f>SUM(Z33:Z39)</f>
        <v>0</v>
      </c>
      <c r="AA40" s="166"/>
      <c r="AB40" s="166"/>
      <c r="AC40" s="30">
        <v>7</v>
      </c>
      <c r="AD40" s="30">
        <f>SUM(AD33:AD39)</f>
        <v>0</v>
      </c>
      <c r="AE40" s="18">
        <f t="shared" si="8"/>
        <v>-104.87261918957211</v>
      </c>
      <c r="AF40" s="20">
        <f t="shared" si="9"/>
        <v>0.95630307533767833</v>
      </c>
      <c r="AG40" s="170"/>
    </row>
    <row r="41" spans="1:33" ht="15.75" customHeight="1">
      <c r="A41" s="182" t="s">
        <v>2780</v>
      </c>
      <c r="B41" s="35" t="s">
        <v>108</v>
      </c>
      <c r="C41" s="174" t="s">
        <v>1514</v>
      </c>
      <c r="D41" s="175"/>
      <c r="E41" s="35">
        <v>34.35</v>
      </c>
      <c r="F41" s="4">
        <v>2647</v>
      </c>
      <c r="G41" s="4">
        <f t="shared" ref="G41:G45" si="31">E41*F41</f>
        <v>90924.45</v>
      </c>
      <c r="H41" s="21" t="s">
        <v>133</v>
      </c>
      <c r="I41" s="15">
        <v>8</v>
      </c>
      <c r="J41" s="17">
        <v>3000</v>
      </c>
      <c r="K41" s="16">
        <f t="shared" si="1"/>
        <v>375</v>
      </c>
      <c r="L41" s="15">
        <v>8</v>
      </c>
      <c r="M41" s="17">
        <f t="shared" ref="M41:M45" si="32">F41/V41*60</f>
        <v>2887.6363636363644</v>
      </c>
      <c r="N41" s="17">
        <f t="shared" si="3"/>
        <v>360.95454545454555</v>
      </c>
      <c r="O41" s="18">
        <f t="shared" si="4"/>
        <v>0</v>
      </c>
      <c r="P41" s="19">
        <f t="shared" si="5"/>
        <v>-14.045454545454447</v>
      </c>
      <c r="Q41" s="20">
        <f t="shared" si="6"/>
        <v>0.96254545454545481</v>
      </c>
      <c r="R41" s="185">
        <f>Q46</f>
        <v>0.95651777938536575</v>
      </c>
      <c r="S41" s="27">
        <v>8.3333333333333329E-2</v>
      </c>
      <c r="T41" s="27">
        <v>0.12152777777777776</v>
      </c>
      <c r="U41" s="27"/>
      <c r="V41" s="21">
        <f t="shared" ref="V41:V45" si="33">(T41-S41)*24*60</f>
        <v>54.999999999999986</v>
      </c>
      <c r="W41" s="22">
        <f>T41</f>
        <v>0.12152777777777776</v>
      </c>
      <c r="X41" s="22">
        <f>S42</f>
        <v>0.14305555555555555</v>
      </c>
      <c r="Y41" s="25"/>
      <c r="Z41" s="25"/>
      <c r="AA41" s="176"/>
      <c r="AB41" s="177"/>
      <c r="AC41" s="24">
        <v>5</v>
      </c>
      <c r="AD41" s="24"/>
      <c r="AE41" s="18">
        <f t="shared" si="8"/>
        <v>-112.36363636363558</v>
      </c>
      <c r="AF41" s="20">
        <f t="shared" si="9"/>
        <v>0.96254545454545481</v>
      </c>
      <c r="AG41" s="185">
        <f>AF46</f>
        <v>0.95651777938536575</v>
      </c>
    </row>
    <row r="42" spans="1:33" ht="15.75" customHeight="1">
      <c r="A42" s="183" t="s">
        <v>68</v>
      </c>
      <c r="B42" s="35" t="s">
        <v>108</v>
      </c>
      <c r="C42" s="174" t="s">
        <v>111</v>
      </c>
      <c r="D42" s="175"/>
      <c r="E42" s="35">
        <v>21.13</v>
      </c>
      <c r="F42" s="4">
        <v>5581</v>
      </c>
      <c r="G42" s="4">
        <f t="shared" si="31"/>
        <v>117926.53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2862.0512820512822</v>
      </c>
      <c r="N42" s="17">
        <f t="shared" si="3"/>
        <v>286.20512820512823</v>
      </c>
      <c r="O42" s="18">
        <f t="shared" si="4"/>
        <v>0</v>
      </c>
      <c r="P42" s="19">
        <f t="shared" si="5"/>
        <v>-13.794871794871767</v>
      </c>
      <c r="Q42" s="20">
        <f t="shared" si="6"/>
        <v>0.95401709401709411</v>
      </c>
      <c r="R42" s="186"/>
      <c r="S42" s="27">
        <v>0.14305555555555555</v>
      </c>
      <c r="T42" s="27">
        <v>0.22430555555555554</v>
      </c>
      <c r="U42" s="4">
        <f t="shared" ref="U42:U45" si="34">(S42-T41)*24*60</f>
        <v>31.000000000000011</v>
      </c>
      <c r="V42" s="21">
        <f t="shared" si="33"/>
        <v>116.99999999999999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-137.94871794871779</v>
      </c>
      <c r="AF42" s="20">
        <f t="shared" si="9"/>
        <v>0.95401709401709411</v>
      </c>
      <c r="AG42" s="186"/>
    </row>
    <row r="43" spans="1:33" ht="15.75" customHeight="1">
      <c r="A43" s="183" t="s">
        <v>69</v>
      </c>
      <c r="B43" s="35" t="s">
        <v>108</v>
      </c>
      <c r="C43" s="174" t="s">
        <v>112</v>
      </c>
      <c r="D43" s="175"/>
      <c r="E43" s="35">
        <v>27.17</v>
      </c>
      <c r="F43" s="4">
        <v>7447</v>
      </c>
      <c r="G43" s="4">
        <f t="shared" si="31"/>
        <v>202334.99000000002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2864.2307692307691</v>
      </c>
      <c r="N43" s="17">
        <f t="shared" si="3"/>
        <v>286.42307692307691</v>
      </c>
      <c r="O43" s="18">
        <f t="shared" si="4"/>
        <v>0</v>
      </c>
      <c r="P43" s="19">
        <f t="shared" si="5"/>
        <v>-13.576923076923094</v>
      </c>
      <c r="Q43" s="20">
        <f t="shared" si="6"/>
        <v>0.95474358974358964</v>
      </c>
      <c r="R43" s="186"/>
      <c r="S43" s="27">
        <v>0.22847222222222222</v>
      </c>
      <c r="T43" s="27">
        <v>0.33680555555555558</v>
      </c>
      <c r="U43" s="4">
        <f t="shared" si="34"/>
        <v>6.0000000000000187</v>
      </c>
      <c r="V43" s="21">
        <f t="shared" si="33"/>
        <v>156.00000000000003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-135.76923076923094</v>
      </c>
      <c r="AF43" s="20">
        <f t="shared" si="9"/>
        <v>0.95474358974358964</v>
      </c>
      <c r="AG43" s="186"/>
    </row>
    <row r="44" spans="1:33" ht="15.75" customHeight="1">
      <c r="A44" s="183" t="s">
        <v>2781</v>
      </c>
      <c r="B44" s="35" t="s">
        <v>108</v>
      </c>
      <c r="C44" s="174" t="s">
        <v>305</v>
      </c>
      <c r="D44" s="175"/>
      <c r="E44" s="35">
        <v>28.3</v>
      </c>
      <c r="F44" s="4">
        <v>2392</v>
      </c>
      <c r="G44" s="4">
        <f t="shared" si="31"/>
        <v>67693.600000000006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2870.4000000000005</v>
      </c>
      <c r="N44" s="17">
        <f t="shared" si="3"/>
        <v>358.80000000000007</v>
      </c>
      <c r="O44" s="18">
        <f t="shared" si="4"/>
        <v>0</v>
      </c>
      <c r="P44" s="19">
        <f t="shared" si="5"/>
        <v>-16.199999999999932</v>
      </c>
      <c r="Q44" s="20">
        <f t="shared" si="6"/>
        <v>0.95680000000000021</v>
      </c>
      <c r="R44" s="186"/>
      <c r="S44" s="27">
        <v>0.34027777777777779</v>
      </c>
      <c r="T44" s="27">
        <v>0.375</v>
      </c>
      <c r="U44" s="4">
        <f t="shared" si="34"/>
        <v>4.9999999999999822</v>
      </c>
      <c r="V44" s="21">
        <f t="shared" si="33"/>
        <v>49.999999999999986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-129.59999999999945</v>
      </c>
      <c r="AF44" s="20">
        <f t="shared" si="9"/>
        <v>0.95680000000000021</v>
      </c>
      <c r="AG44" s="186"/>
    </row>
    <row r="45" spans="1:33" ht="15.75" customHeight="1">
      <c r="A45" s="183" t="s">
        <v>68</v>
      </c>
      <c r="B45" s="35" t="s">
        <v>108</v>
      </c>
      <c r="C45" s="174" t="s">
        <v>113</v>
      </c>
      <c r="D45" s="175"/>
      <c r="E45" s="35">
        <v>35.869999999999997</v>
      </c>
      <c r="F45" s="4">
        <v>4152</v>
      </c>
      <c r="G45" s="4">
        <f t="shared" si="31"/>
        <v>148932.24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2863.4482758620688</v>
      </c>
      <c r="N45" s="17">
        <f t="shared" si="3"/>
        <v>318.16091954022988</v>
      </c>
      <c r="O45" s="18">
        <f t="shared" si="4"/>
        <v>0</v>
      </c>
      <c r="P45" s="19">
        <f t="shared" si="5"/>
        <v>-15.172413793103431</v>
      </c>
      <c r="Q45" s="20">
        <f t="shared" si="6"/>
        <v>0.95448275862068965</v>
      </c>
      <c r="R45" s="186"/>
      <c r="S45" s="27">
        <v>0.37916666666666665</v>
      </c>
      <c r="T45" s="27">
        <v>0.43958333333333333</v>
      </c>
      <c r="U45" s="4">
        <f t="shared" si="34"/>
        <v>5.9999999999999787</v>
      </c>
      <c r="V45" s="21">
        <f t="shared" si="33"/>
        <v>87.000000000000014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-136.55172413793116</v>
      </c>
      <c r="AF45" s="20">
        <f t="shared" si="9"/>
        <v>0.95448275862068965</v>
      </c>
      <c r="AG45" s="186"/>
    </row>
    <row r="46" spans="1:33" ht="15.75" customHeight="1">
      <c r="A46" s="184" t="s">
        <v>68</v>
      </c>
      <c r="B46" s="35" t="s">
        <v>48</v>
      </c>
      <c r="C46" s="164"/>
      <c r="D46" s="165"/>
      <c r="E46" s="37"/>
      <c r="F46" s="4"/>
      <c r="G46" s="4"/>
      <c r="H46" s="4"/>
      <c r="I46" s="29">
        <v>9</v>
      </c>
      <c r="J46" s="17">
        <v>3000</v>
      </c>
      <c r="K46" s="16">
        <f t="shared" si="1"/>
        <v>333.33333333333331</v>
      </c>
      <c r="L46" s="29">
        <v>9</v>
      </c>
      <c r="M46" s="17">
        <f>AVERAGE(M41:M45)</f>
        <v>2869.5533381560972</v>
      </c>
      <c r="N46" s="16">
        <f t="shared" si="3"/>
        <v>318.8392597951219</v>
      </c>
      <c r="O46" s="18">
        <f t="shared" si="4"/>
        <v>0</v>
      </c>
      <c r="P46" s="19">
        <f t="shared" si="5"/>
        <v>-14.49407353821141</v>
      </c>
      <c r="Q46" s="20">
        <f t="shared" si="6"/>
        <v>0.95651777938536575</v>
      </c>
      <c r="R46" s="187"/>
      <c r="S46" s="27"/>
      <c r="T46" s="27"/>
      <c r="U46" s="4"/>
      <c r="V46" s="21"/>
      <c r="W46" s="22"/>
      <c r="X46" s="22"/>
      <c r="Y46" s="30">
        <f>SUM(Y41:Y45)</f>
        <v>0</v>
      </c>
      <c r="Z46" s="30">
        <f>SUM(Z41:Z45)</f>
        <v>0</v>
      </c>
      <c r="AA46" s="180"/>
      <c r="AB46" s="181"/>
      <c r="AC46" s="30">
        <v>5</v>
      </c>
      <c r="AD46" s="30">
        <f>SUM(AD41:AD45)</f>
        <v>0</v>
      </c>
      <c r="AE46" s="18">
        <f t="shared" si="8"/>
        <v>-130.4466618439028</v>
      </c>
      <c r="AF46" s="20">
        <f t="shared" si="9"/>
        <v>0.95651777938536575</v>
      </c>
      <c r="AG46" s="187"/>
    </row>
    <row r="47" spans="1:33" ht="15.75" customHeight="1">
      <c r="A47" s="178" t="s">
        <v>2782</v>
      </c>
      <c r="B47" s="35" t="s">
        <v>84</v>
      </c>
      <c r="C47" s="163" t="s">
        <v>114</v>
      </c>
      <c r="D47" s="163"/>
      <c r="E47" s="35">
        <v>46</v>
      </c>
      <c r="F47" s="38">
        <v>2961</v>
      </c>
      <c r="G47" s="4">
        <f t="shared" ref="G47:G54" si="35">E47*F47</f>
        <v>136206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" si="36">F47/V47*60</f>
        <v>1910.3225806451608</v>
      </c>
      <c r="N47" s="17">
        <f t="shared" si="3"/>
        <v>112.37191650853887</v>
      </c>
      <c r="O47" s="18">
        <f t="shared" si="4"/>
        <v>0</v>
      </c>
      <c r="P47" s="19">
        <f t="shared" si="5"/>
        <v>-5.2751423149905321</v>
      </c>
      <c r="Q47" s="20">
        <f t="shared" si="6"/>
        <v>0.95516129032258046</v>
      </c>
      <c r="R47" s="170">
        <f>Q55</f>
        <v>0.96259249624233967</v>
      </c>
      <c r="S47" s="27">
        <v>0.20833333333333334</v>
      </c>
      <c r="T47" s="27">
        <v>0.2729166666666667</v>
      </c>
      <c r="U47" s="27"/>
      <c r="V47" s="21">
        <f t="shared" ref="V47:V54" si="37">(T47-S47)*24*60</f>
        <v>93.000000000000028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-89.67741935483923</v>
      </c>
      <c r="AF47" s="20">
        <f t="shared" si="9"/>
        <v>0.95516129032258035</v>
      </c>
      <c r="AG47" s="170">
        <f>AF55</f>
        <v>0.96259249624233967</v>
      </c>
    </row>
    <row r="48" spans="1:33" ht="15.75" customHeight="1">
      <c r="A48" s="178" t="s">
        <v>2783</v>
      </c>
      <c r="B48" s="35" t="s">
        <v>78</v>
      </c>
      <c r="C48" s="163" t="s">
        <v>115</v>
      </c>
      <c r="D48" s="163"/>
      <c r="E48" s="35">
        <v>56.43</v>
      </c>
      <c r="F48" s="38">
        <v>1726</v>
      </c>
      <c r="G48" s="4">
        <f t="shared" si="35"/>
        <v>97398.18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>F48/V48*60</f>
        <v>1917.7777777777787</v>
      </c>
      <c r="N48" s="17">
        <f t="shared" si="3"/>
        <v>87.171717171717219</v>
      </c>
      <c r="O48" s="18">
        <f t="shared" si="4"/>
        <v>0</v>
      </c>
      <c r="P48" s="19">
        <f t="shared" si="5"/>
        <v>-3.7373737373736873</v>
      </c>
      <c r="Q48" s="20">
        <f t="shared" si="6"/>
        <v>0.95888888888888946</v>
      </c>
      <c r="R48" s="170"/>
      <c r="S48" s="27">
        <v>0.27638888888888891</v>
      </c>
      <c r="T48" s="27">
        <v>0.31388888888888888</v>
      </c>
      <c r="U48" s="4">
        <f t="shared" ref="U48:U54" si="38">IF(S48=TIME(17,0,0),"",(S48-T47)*24*60)</f>
        <v>4.9999999999999822</v>
      </c>
      <c r="V48" s="21">
        <f t="shared" si="37"/>
        <v>53.999999999999972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-82.222222222221262</v>
      </c>
      <c r="AF48" s="20">
        <f t="shared" si="9"/>
        <v>0.95888888888888935</v>
      </c>
      <c r="AG48" s="170"/>
    </row>
    <row r="49" spans="1:33" ht="15.75" customHeight="1">
      <c r="A49" s="178" t="s">
        <v>2784</v>
      </c>
      <c r="B49" s="35" t="s">
        <v>78</v>
      </c>
      <c r="C49" s="174" t="s">
        <v>116</v>
      </c>
      <c r="D49" s="175"/>
      <c r="E49" s="35">
        <v>51.75</v>
      </c>
      <c r="F49" s="38">
        <v>1158</v>
      </c>
      <c r="G49" s="4">
        <f t="shared" si="35"/>
        <v>59926.5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ref="M49:M54" si="39">F49/V49*60</f>
        <v>1929.9999999999986</v>
      </c>
      <c r="N49" s="17">
        <f t="shared" si="3"/>
        <v>77.199999999999946</v>
      </c>
      <c r="O49" s="18">
        <f t="shared" si="4"/>
        <v>0</v>
      </c>
      <c r="P49" s="19">
        <f t="shared" si="5"/>
        <v>-2.800000000000054</v>
      </c>
      <c r="Q49" s="20">
        <f t="shared" si="6"/>
        <v>0.9649999999999993</v>
      </c>
      <c r="R49" s="170"/>
      <c r="S49" s="27">
        <v>0.31805555555555554</v>
      </c>
      <c r="T49" s="27">
        <v>0.34305555555555556</v>
      </c>
      <c r="U49" s="4">
        <f t="shared" si="38"/>
        <v>5.9999999999999787</v>
      </c>
      <c r="V49" s="21">
        <f t="shared" si="37"/>
        <v>36.000000000000028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-70.000000000001364</v>
      </c>
      <c r="AF49" s="20">
        <f t="shared" si="9"/>
        <v>0.9649999999999993</v>
      </c>
      <c r="AG49" s="170"/>
    </row>
    <row r="50" spans="1:33" ht="15.75" customHeight="1">
      <c r="A50" s="178" t="s">
        <v>72</v>
      </c>
      <c r="B50" s="35" t="s">
        <v>78</v>
      </c>
      <c r="C50" s="39" t="s">
        <v>118</v>
      </c>
      <c r="D50" s="40"/>
      <c r="E50" s="35">
        <v>57.73</v>
      </c>
      <c r="F50" s="38">
        <v>1153</v>
      </c>
      <c r="G50" s="4">
        <f t="shared" si="35"/>
        <v>66562.69</v>
      </c>
      <c r="H50" s="21" t="s">
        <v>133</v>
      </c>
      <c r="I50" s="15">
        <v>16</v>
      </c>
      <c r="J50" s="17">
        <v>1500</v>
      </c>
      <c r="K50" s="16">
        <f t="shared" si="1"/>
        <v>93.75</v>
      </c>
      <c r="L50" s="15">
        <v>16</v>
      </c>
      <c r="M50" s="17">
        <f t="shared" si="39"/>
        <v>1441.2500000000005</v>
      </c>
      <c r="N50" s="17">
        <f t="shared" si="3"/>
        <v>90.078125000000028</v>
      </c>
      <c r="O50" s="18">
        <f t="shared" si="4"/>
        <v>0</v>
      </c>
      <c r="P50" s="19">
        <f t="shared" si="5"/>
        <v>-3.6718749999999716</v>
      </c>
      <c r="Q50" s="20">
        <f t="shared" si="6"/>
        <v>0.96083333333333365</v>
      </c>
      <c r="R50" s="170"/>
      <c r="S50" s="27">
        <v>0.70833333333333337</v>
      </c>
      <c r="T50" s="27">
        <v>0.7416666666666667</v>
      </c>
      <c r="U50" s="4" t="str">
        <f t="shared" si="38"/>
        <v/>
      </c>
      <c r="V50" s="21">
        <f t="shared" si="37"/>
        <v>47.999999999999986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-58.749999999999545</v>
      </c>
      <c r="AF50" s="20">
        <f t="shared" si="9"/>
        <v>0.96083333333333365</v>
      </c>
      <c r="AG50" s="170"/>
    </row>
    <row r="51" spans="1:33" ht="15.75" customHeight="1">
      <c r="A51" s="178" t="s">
        <v>2782</v>
      </c>
      <c r="B51" s="35" t="s">
        <v>78</v>
      </c>
      <c r="C51" s="39" t="s">
        <v>119</v>
      </c>
      <c r="D51" s="40"/>
      <c r="E51" s="35">
        <v>54.29</v>
      </c>
      <c r="F51" s="38">
        <v>1172</v>
      </c>
      <c r="G51" s="4">
        <f t="shared" si="35"/>
        <v>63627.88</v>
      </c>
      <c r="H51" s="21" t="s">
        <v>133</v>
      </c>
      <c r="I51" s="15">
        <v>20</v>
      </c>
      <c r="J51" s="17">
        <v>2000</v>
      </c>
      <c r="K51" s="16">
        <f t="shared" si="1"/>
        <v>100</v>
      </c>
      <c r="L51" s="15">
        <v>20</v>
      </c>
      <c r="M51" s="17">
        <f t="shared" si="39"/>
        <v>1953.3333333333317</v>
      </c>
      <c r="N51" s="17">
        <f t="shared" si="3"/>
        <v>97.666666666666586</v>
      </c>
      <c r="O51" s="18">
        <f t="shared" si="4"/>
        <v>0</v>
      </c>
      <c r="P51" s="19">
        <f t="shared" si="5"/>
        <v>-2.3333333333334139</v>
      </c>
      <c r="Q51" s="20">
        <f t="shared" si="6"/>
        <v>0.97666666666666591</v>
      </c>
      <c r="R51" s="170"/>
      <c r="S51" s="27">
        <v>0.74722222222222223</v>
      </c>
      <c r="T51" s="27">
        <v>0.77222222222222225</v>
      </c>
      <c r="U51" s="4">
        <f t="shared" si="38"/>
        <v>7.9999999999999716</v>
      </c>
      <c r="V51" s="21">
        <f t="shared" si="37"/>
        <v>36.000000000000028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-46.666666666668334</v>
      </c>
      <c r="AF51" s="20">
        <f t="shared" si="9"/>
        <v>0.97666666666666579</v>
      </c>
      <c r="AG51" s="170"/>
    </row>
    <row r="52" spans="1:33" ht="15.75" customHeight="1">
      <c r="A52" s="178" t="s">
        <v>2782</v>
      </c>
      <c r="B52" s="35" t="s">
        <v>78</v>
      </c>
      <c r="C52" s="174" t="s">
        <v>120</v>
      </c>
      <c r="D52" s="175"/>
      <c r="E52" s="35">
        <v>55.56</v>
      </c>
      <c r="F52" s="38">
        <v>800</v>
      </c>
      <c r="G52" s="4">
        <f t="shared" si="35"/>
        <v>44448</v>
      </c>
      <c r="H52" s="21">
        <v>2</v>
      </c>
      <c r="I52" s="15">
        <v>17</v>
      </c>
      <c r="J52" s="17">
        <v>2000</v>
      </c>
      <c r="K52" s="16">
        <f t="shared" si="1"/>
        <v>117.64705882352941</v>
      </c>
      <c r="L52" s="15">
        <v>17</v>
      </c>
      <c r="M52" s="17">
        <f t="shared" si="39"/>
        <v>1919.9999999999945</v>
      </c>
      <c r="N52" s="17">
        <f t="shared" si="3"/>
        <v>112.94117647058792</v>
      </c>
      <c r="O52" s="18">
        <f t="shared" si="4"/>
        <v>0</v>
      </c>
      <c r="P52" s="19">
        <f t="shared" si="5"/>
        <v>-4.7058823529414866</v>
      </c>
      <c r="Q52" s="20">
        <f t="shared" si="6"/>
        <v>0.95999999999999741</v>
      </c>
      <c r="R52" s="170"/>
      <c r="S52" s="27">
        <v>0.77777777777777779</v>
      </c>
      <c r="T52" s="27">
        <v>0.79513888888888895</v>
      </c>
      <c r="U52" s="4">
        <f t="shared" si="38"/>
        <v>7.9999999999999716</v>
      </c>
      <c r="V52" s="21">
        <f t="shared" si="37"/>
        <v>25.000000000000071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-80.000000000005457</v>
      </c>
      <c r="AF52" s="20">
        <f t="shared" si="9"/>
        <v>0.9599999999999973</v>
      </c>
      <c r="AG52" s="170"/>
    </row>
    <row r="53" spans="1:33" ht="15.75" customHeight="1">
      <c r="A53" s="178" t="s">
        <v>72</v>
      </c>
      <c r="B53" s="35" t="s">
        <v>78</v>
      </c>
      <c r="C53" s="174" t="s">
        <v>121</v>
      </c>
      <c r="D53" s="175"/>
      <c r="E53" s="35">
        <v>55.32</v>
      </c>
      <c r="F53" s="38">
        <v>1530</v>
      </c>
      <c r="G53" s="4">
        <f t="shared" si="35"/>
        <v>84639.6</v>
      </c>
      <c r="H53" s="21" t="s">
        <v>133</v>
      </c>
      <c r="I53" s="15">
        <v>15</v>
      </c>
      <c r="J53" s="17">
        <v>2000</v>
      </c>
      <c r="K53" s="16">
        <f t="shared" si="1"/>
        <v>133.33333333333334</v>
      </c>
      <c r="L53" s="15">
        <v>15</v>
      </c>
      <c r="M53" s="17">
        <f t="shared" si="39"/>
        <v>1912.5000000000007</v>
      </c>
      <c r="N53" s="17">
        <f t="shared" si="3"/>
        <v>127.50000000000004</v>
      </c>
      <c r="O53" s="18">
        <f t="shared" si="4"/>
        <v>0</v>
      </c>
      <c r="P53" s="19">
        <f t="shared" si="5"/>
        <v>-5.8333333333333002</v>
      </c>
      <c r="Q53" s="20">
        <f t="shared" si="6"/>
        <v>0.95625000000000027</v>
      </c>
      <c r="R53" s="170"/>
      <c r="S53" s="27">
        <v>0.7993055555555556</v>
      </c>
      <c r="T53" s="27">
        <v>0.83263888888888893</v>
      </c>
      <c r="U53" s="4">
        <f t="shared" si="38"/>
        <v>5.9999999999999787</v>
      </c>
      <c r="V53" s="21">
        <f t="shared" si="37"/>
        <v>47.999999999999986</v>
      </c>
      <c r="W53" s="22">
        <f>T53</f>
        <v>0.83263888888888893</v>
      </c>
      <c r="X53" s="22">
        <f>S54</f>
        <v>0.87291666666666667</v>
      </c>
      <c r="Y53" s="25"/>
      <c r="Z53" s="25"/>
      <c r="AA53" s="176"/>
      <c r="AB53" s="177"/>
      <c r="AC53" s="24"/>
      <c r="AD53" s="24"/>
      <c r="AE53" s="18">
        <f t="shared" si="8"/>
        <v>-87.499999999999318</v>
      </c>
      <c r="AF53" s="20">
        <f t="shared" si="9"/>
        <v>0.95625000000000038</v>
      </c>
      <c r="AG53" s="170"/>
    </row>
    <row r="54" spans="1:33" ht="15.75" customHeight="1">
      <c r="A54" s="178" t="s">
        <v>2782</v>
      </c>
      <c r="B54" s="35" t="s">
        <v>78</v>
      </c>
      <c r="C54" s="174" t="s">
        <v>120</v>
      </c>
      <c r="D54" s="175"/>
      <c r="E54" s="35">
        <v>55.56</v>
      </c>
      <c r="F54" s="38">
        <v>1290</v>
      </c>
      <c r="G54" s="4">
        <f t="shared" si="35"/>
        <v>71672.400000000009</v>
      </c>
      <c r="H54" s="21" t="s">
        <v>133</v>
      </c>
      <c r="I54" s="15">
        <v>17</v>
      </c>
      <c r="J54" s="17">
        <v>2000</v>
      </c>
      <c r="K54" s="16">
        <f t="shared" si="1"/>
        <v>117.64705882352941</v>
      </c>
      <c r="L54" s="15">
        <v>17</v>
      </c>
      <c r="M54" s="17">
        <f t="shared" si="39"/>
        <v>1934.9999999999991</v>
      </c>
      <c r="N54" s="17">
        <f t="shared" si="3"/>
        <v>113.82352941176465</v>
      </c>
      <c r="O54" s="18">
        <f t="shared" si="4"/>
        <v>0</v>
      </c>
      <c r="P54" s="19">
        <f t="shared" si="5"/>
        <v>-3.8235294117647527</v>
      </c>
      <c r="Q54" s="20">
        <f t="shared" si="6"/>
        <v>0.96749999999999958</v>
      </c>
      <c r="R54" s="170"/>
      <c r="S54" s="27">
        <v>0.87291666666666667</v>
      </c>
      <c r="T54" s="27">
        <v>0.90069444444444446</v>
      </c>
      <c r="U54" s="4">
        <f t="shared" si="38"/>
        <v>57.999999999999957</v>
      </c>
      <c r="V54" s="21">
        <f t="shared" si="37"/>
        <v>40.000000000000014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-65.000000000000909</v>
      </c>
      <c r="AF54" s="20">
        <f t="shared" si="9"/>
        <v>0.96749999999999958</v>
      </c>
      <c r="AG54" s="170"/>
    </row>
    <row r="55" spans="1:33">
      <c r="A55" s="179" t="s">
        <v>72</v>
      </c>
      <c r="B55" s="35" t="s">
        <v>48</v>
      </c>
      <c r="C55" s="171"/>
      <c r="D55" s="171"/>
      <c r="E55" s="36"/>
      <c r="F55" s="16"/>
      <c r="G55" s="16"/>
      <c r="H55" s="4"/>
      <c r="I55" s="29">
        <v>18.625</v>
      </c>
      <c r="J55" s="17">
        <v>1937.5</v>
      </c>
      <c r="K55" s="16">
        <f t="shared" si="1"/>
        <v>104.02684563758389</v>
      </c>
      <c r="L55" s="29">
        <v>18.625</v>
      </c>
      <c r="M55" s="17">
        <f>AVERAGE(M47:M54)</f>
        <v>1865.0229614695331</v>
      </c>
      <c r="N55" s="16">
        <f t="shared" si="3"/>
        <v>100.13546101849842</v>
      </c>
      <c r="O55" s="18">
        <f t="shared" si="4"/>
        <v>0</v>
      </c>
      <c r="P55" s="19">
        <f t="shared" si="5"/>
        <v>-3.8913846190854713</v>
      </c>
      <c r="Q55" s="20">
        <f t="shared" si="6"/>
        <v>0.96259249624233967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v>8</v>
      </c>
      <c r="AD55" s="30">
        <f>SUM(AD47:AD54)</f>
        <v>0</v>
      </c>
      <c r="AE55" s="18">
        <f>M55-J55</f>
        <v>-72.477038530466871</v>
      </c>
      <c r="AF55" s="20">
        <f t="shared" si="9"/>
        <v>0.96259249624233967</v>
      </c>
      <c r="AG55" s="170"/>
    </row>
    <row r="56" spans="1:33" ht="15.75" customHeight="1">
      <c r="A56" s="172" t="s">
        <v>297</v>
      </c>
      <c r="B56" s="4" t="s">
        <v>108</v>
      </c>
      <c r="C56" s="163" t="s">
        <v>125</v>
      </c>
      <c r="D56" s="163"/>
      <c r="E56" s="35">
        <v>37.85</v>
      </c>
      <c r="F56" s="38">
        <v>1446</v>
      </c>
      <c r="G56" s="4">
        <f t="shared" ref="G56:G60" si="40">E56*F56</f>
        <v>54731.1</v>
      </c>
      <c r="H56" s="21" t="s">
        <v>133</v>
      </c>
      <c r="I56" s="15">
        <v>12</v>
      </c>
      <c r="J56" s="17">
        <v>2000</v>
      </c>
      <c r="K56" s="16">
        <f t="shared" si="1"/>
        <v>166.66666666666666</v>
      </c>
      <c r="L56" s="15">
        <v>12</v>
      </c>
      <c r="M56" s="17">
        <f t="shared" ref="M56:M60" si="41">F56/V56*60</f>
        <v>1928</v>
      </c>
      <c r="N56" s="16">
        <f t="shared" si="3"/>
        <v>160.66666666666666</v>
      </c>
      <c r="O56" s="18">
        <f t="shared" si="4"/>
        <v>0</v>
      </c>
      <c r="P56" s="19">
        <f t="shared" si="5"/>
        <v>-6</v>
      </c>
      <c r="Q56" s="20">
        <f t="shared" si="6"/>
        <v>0.96399999999999997</v>
      </c>
      <c r="R56" s="170">
        <f>Q61</f>
        <v>0.96192000566077784</v>
      </c>
      <c r="S56" s="27">
        <v>0.20833333333333334</v>
      </c>
      <c r="T56" s="27">
        <v>0.23958333333333334</v>
      </c>
      <c r="U56" s="4"/>
      <c r="V56" s="21">
        <f t="shared" ref="V56:V60" si="42">(T56-S56)*24*60</f>
        <v>45</v>
      </c>
      <c r="W56" s="27"/>
      <c r="X56" s="27"/>
      <c r="Y56" s="27"/>
      <c r="Z56" s="27"/>
      <c r="AA56" s="162"/>
      <c r="AB56" s="162"/>
      <c r="AC56" s="24">
        <v>5</v>
      </c>
      <c r="AD56" s="24"/>
      <c r="AE56" s="18">
        <f t="shared" ref="AE56:AE68" si="43">M56-J56</f>
        <v>-72</v>
      </c>
      <c r="AF56" s="20">
        <f t="shared" si="9"/>
        <v>0.96399999999999997</v>
      </c>
      <c r="AG56" s="170">
        <f>AF61</f>
        <v>0.96192000566077795</v>
      </c>
    </row>
    <row r="57" spans="1:33" ht="15.75" customHeight="1">
      <c r="A57" s="172" t="s">
        <v>297</v>
      </c>
      <c r="B57" s="4" t="s">
        <v>108</v>
      </c>
      <c r="C57" s="163" t="s">
        <v>126</v>
      </c>
      <c r="D57" s="163"/>
      <c r="E57" s="35">
        <v>34.36</v>
      </c>
      <c r="F57" s="38">
        <v>2738</v>
      </c>
      <c r="G57" s="4">
        <f t="shared" si="40"/>
        <v>94077.68</v>
      </c>
      <c r="H57" s="21" t="s">
        <v>133</v>
      </c>
      <c r="I57" s="15">
        <v>10</v>
      </c>
      <c r="J57" s="17">
        <v>3000</v>
      </c>
      <c r="K57" s="16">
        <f t="shared" si="1"/>
        <v>300</v>
      </c>
      <c r="L57" s="15">
        <v>10</v>
      </c>
      <c r="M57" s="17">
        <f t="shared" si="41"/>
        <v>2882.105263157895</v>
      </c>
      <c r="N57" s="16">
        <f t="shared" si="3"/>
        <v>288.21052631578948</v>
      </c>
      <c r="O57" s="18">
        <f t="shared" si="4"/>
        <v>0</v>
      </c>
      <c r="P57" s="19">
        <f t="shared" si="5"/>
        <v>-11.78947368421052</v>
      </c>
      <c r="Q57" s="20">
        <f t="shared" si="6"/>
        <v>0.96070175438596495</v>
      </c>
      <c r="R57" s="170"/>
      <c r="S57" s="27">
        <v>0.24305555555555555</v>
      </c>
      <c r="T57" s="27">
        <v>0.28263888888888888</v>
      </c>
      <c r="U57" s="4">
        <f t="shared" ref="U57:U60" si="44">(S57-T56)*24*60</f>
        <v>4.9999999999999822</v>
      </c>
      <c r="V57" s="21">
        <f t="shared" si="42"/>
        <v>57</v>
      </c>
      <c r="W57" s="4"/>
      <c r="X57" s="4"/>
      <c r="Y57" s="4"/>
      <c r="Z57" s="4"/>
      <c r="AA57" s="162"/>
      <c r="AB57" s="162"/>
      <c r="AC57" s="24"/>
      <c r="AD57" s="24"/>
      <c r="AE57" s="18">
        <f t="shared" si="43"/>
        <v>-117.89473684210498</v>
      </c>
      <c r="AF57" s="20">
        <f t="shared" si="9"/>
        <v>0.96070175438596506</v>
      </c>
      <c r="AG57" s="170"/>
    </row>
    <row r="58" spans="1:33" ht="15.75" customHeight="1">
      <c r="A58" s="172" t="s">
        <v>297</v>
      </c>
      <c r="B58" s="4" t="s">
        <v>108</v>
      </c>
      <c r="C58" s="163" t="s">
        <v>127</v>
      </c>
      <c r="D58" s="163"/>
      <c r="E58" s="35">
        <v>35.119999999999997</v>
      </c>
      <c r="F58" s="38">
        <v>5800</v>
      </c>
      <c r="G58" s="4">
        <f t="shared" si="40"/>
        <v>203695.99999999997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1"/>
        <v>2876.0330578512403</v>
      </c>
      <c r="N58" s="16">
        <f t="shared" si="3"/>
        <v>287.60330578512401</v>
      </c>
      <c r="O58" s="18">
        <f t="shared" si="4"/>
        <v>0</v>
      </c>
      <c r="P58" s="19">
        <f t="shared" si="5"/>
        <v>-12.396694214875993</v>
      </c>
      <c r="Q58" s="20">
        <f t="shared" si="6"/>
        <v>0.95867768595041336</v>
      </c>
      <c r="R58" s="170"/>
      <c r="S58" s="27">
        <v>0.28680555555555554</v>
      </c>
      <c r="T58" s="27">
        <v>0.37083333333333329</v>
      </c>
      <c r="U58" s="4">
        <f t="shared" si="44"/>
        <v>5.9999999999999787</v>
      </c>
      <c r="V58" s="21">
        <f t="shared" si="42"/>
        <v>120.99999999999997</v>
      </c>
      <c r="W58" s="4"/>
      <c r="X58" s="4"/>
      <c r="Y58" s="4"/>
      <c r="Z58" s="4"/>
      <c r="AA58" s="162"/>
      <c r="AB58" s="162"/>
      <c r="AC58" s="24"/>
      <c r="AD58" s="24"/>
      <c r="AE58" s="18">
        <f t="shared" si="43"/>
        <v>-123.9669421487597</v>
      </c>
      <c r="AF58" s="20">
        <f t="shared" si="9"/>
        <v>0.95867768595041347</v>
      </c>
      <c r="AG58" s="170"/>
    </row>
    <row r="59" spans="1:33" ht="15.75" customHeight="1">
      <c r="A59" s="172" t="s">
        <v>297</v>
      </c>
      <c r="B59" s="4" t="s">
        <v>108</v>
      </c>
      <c r="C59" s="163" t="s">
        <v>109</v>
      </c>
      <c r="D59" s="163"/>
      <c r="E59" s="35">
        <v>34.36</v>
      </c>
      <c r="F59" s="38">
        <v>1882</v>
      </c>
      <c r="G59" s="4">
        <f t="shared" si="40"/>
        <v>64665.52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1"/>
        <v>2895.3846153846134</v>
      </c>
      <c r="N59" s="16">
        <f t="shared" si="3"/>
        <v>289.53846153846132</v>
      </c>
      <c r="O59" s="18">
        <f t="shared" si="4"/>
        <v>0</v>
      </c>
      <c r="P59" s="19">
        <f t="shared" si="5"/>
        <v>-10.46153846153868</v>
      </c>
      <c r="Q59" s="20">
        <f t="shared" si="6"/>
        <v>0.96512820512820441</v>
      </c>
      <c r="R59" s="170"/>
      <c r="S59" s="27">
        <v>0.3743055555555555</v>
      </c>
      <c r="T59" s="27">
        <v>0.40138888888888885</v>
      </c>
      <c r="U59" s="4">
        <f t="shared" si="44"/>
        <v>4.9999999999999822</v>
      </c>
      <c r="V59" s="21">
        <f t="shared" si="42"/>
        <v>39.000000000000021</v>
      </c>
      <c r="W59" s="4"/>
      <c r="X59" s="4"/>
      <c r="Y59" s="4"/>
      <c r="Z59" s="4"/>
      <c r="AA59" s="162"/>
      <c r="AB59" s="162"/>
      <c r="AC59" s="24"/>
      <c r="AD59" s="24"/>
      <c r="AE59" s="18">
        <f t="shared" si="43"/>
        <v>-104.61538461538657</v>
      </c>
      <c r="AF59" s="20">
        <f t="shared" si="9"/>
        <v>0.96512820512820452</v>
      </c>
      <c r="AG59" s="170"/>
    </row>
    <row r="60" spans="1:33">
      <c r="A60" s="173" t="s">
        <v>297</v>
      </c>
      <c r="B60" s="4" t="s">
        <v>108</v>
      </c>
      <c r="C60" s="163" t="s">
        <v>110</v>
      </c>
      <c r="D60" s="163"/>
      <c r="E60" s="35">
        <v>26.78</v>
      </c>
      <c r="F60" s="38">
        <v>2693</v>
      </c>
      <c r="G60" s="4">
        <f t="shared" si="40"/>
        <v>72118.540000000008</v>
      </c>
      <c r="H60" s="21" t="s">
        <v>133</v>
      </c>
      <c r="I60" s="15">
        <v>10</v>
      </c>
      <c r="J60" s="17">
        <v>3000</v>
      </c>
      <c r="K60" s="16">
        <f t="shared" si="1"/>
        <v>300</v>
      </c>
      <c r="L60" s="15">
        <v>10</v>
      </c>
      <c r="M60" s="17">
        <f t="shared" si="41"/>
        <v>2885.3571428571408</v>
      </c>
      <c r="N60" s="16">
        <f t="shared" si="3"/>
        <v>288.53571428571411</v>
      </c>
      <c r="O60" s="18">
        <f t="shared" si="4"/>
        <v>0</v>
      </c>
      <c r="P60" s="19">
        <f t="shared" si="5"/>
        <v>-11.464285714285893</v>
      </c>
      <c r="Q60" s="20">
        <f t="shared" si="6"/>
        <v>0.96178571428571369</v>
      </c>
      <c r="R60" s="170"/>
      <c r="S60" s="27">
        <v>0.40486111111111106</v>
      </c>
      <c r="T60" s="27">
        <v>0.44374999999999998</v>
      </c>
      <c r="U60" s="4">
        <f t="shared" si="44"/>
        <v>4.9999999999999822</v>
      </c>
      <c r="V60" s="21">
        <f t="shared" si="42"/>
        <v>56.000000000000043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-114.64285714285916</v>
      </c>
      <c r="AF60" s="20">
        <f t="shared" si="9"/>
        <v>0.96178571428571358</v>
      </c>
      <c r="AG60" s="170"/>
    </row>
    <row r="61" spans="1:33">
      <c r="A61" s="173" t="s">
        <v>297</v>
      </c>
      <c r="B61" s="35" t="s">
        <v>48</v>
      </c>
      <c r="C61" s="171"/>
      <c r="D61" s="171"/>
      <c r="E61" s="36"/>
      <c r="F61" s="16"/>
      <c r="G61" s="16"/>
      <c r="H61" s="4"/>
      <c r="I61" s="29">
        <v>10.4</v>
      </c>
      <c r="J61" s="17">
        <v>2800</v>
      </c>
      <c r="K61" s="16">
        <f t="shared" si="1"/>
        <v>269.23076923076923</v>
      </c>
      <c r="L61" s="29">
        <v>10.4</v>
      </c>
      <c r="M61" s="17">
        <f>AVERAGE(M56:M60)</f>
        <v>2693.3760158501782</v>
      </c>
      <c r="N61" s="16">
        <f t="shared" si="3"/>
        <v>258.97846306251711</v>
      </c>
      <c r="O61" s="18">
        <f t="shared" si="4"/>
        <v>0</v>
      </c>
      <c r="P61" s="19">
        <f t="shared" si="5"/>
        <v>-10.252306168252119</v>
      </c>
      <c r="Q61" s="20">
        <f t="shared" si="6"/>
        <v>0.96192000566077784</v>
      </c>
      <c r="R61" s="170"/>
      <c r="S61" s="27"/>
      <c r="T61" s="27"/>
      <c r="U61" s="16"/>
      <c r="V61" s="21"/>
      <c r="W61" s="16"/>
      <c r="X61" s="16"/>
      <c r="Y61" s="30">
        <f>SUM(Y56:Y60)</f>
        <v>0</v>
      </c>
      <c r="Z61" s="30">
        <f>SUM(Z56:Z60)</f>
        <v>0</v>
      </c>
      <c r="AA61" s="166"/>
      <c r="AB61" s="166"/>
      <c r="AC61" s="30">
        <v>5</v>
      </c>
      <c r="AD61" s="30">
        <f>SUM(AD56:AD60)</f>
        <v>0</v>
      </c>
      <c r="AE61" s="18">
        <f t="shared" si="43"/>
        <v>-106.62398414982181</v>
      </c>
      <c r="AF61" s="20">
        <f t="shared" si="9"/>
        <v>0.96192000566077795</v>
      </c>
      <c r="AG61" s="170"/>
    </row>
    <row r="62" spans="1:33" ht="15.75" customHeight="1">
      <c r="A62" s="167" t="s">
        <v>76</v>
      </c>
      <c r="B62" s="4" t="s">
        <v>97</v>
      </c>
      <c r="C62" s="163" t="s">
        <v>128</v>
      </c>
      <c r="D62" s="163"/>
      <c r="E62" s="35">
        <v>20.2</v>
      </c>
      <c r="F62" s="4">
        <v>2441</v>
      </c>
      <c r="G62" s="4">
        <f t="shared" ref="G62:G67" si="45">E62*F62</f>
        <v>49308.2</v>
      </c>
      <c r="H62" s="21" t="s">
        <v>133</v>
      </c>
      <c r="I62" s="15">
        <v>15</v>
      </c>
      <c r="J62" s="17">
        <v>2400</v>
      </c>
      <c r="K62" s="16">
        <f t="shared" si="1"/>
        <v>160</v>
      </c>
      <c r="L62" s="15">
        <v>15</v>
      </c>
      <c r="M62" s="17">
        <f t="shared" ref="M62:M67" si="46">F62/V62*60</f>
        <v>2288.4375000000005</v>
      </c>
      <c r="N62" s="16">
        <f t="shared" si="3"/>
        <v>152.56250000000003</v>
      </c>
      <c r="O62" s="18">
        <f t="shared" si="4"/>
        <v>0</v>
      </c>
      <c r="P62" s="19">
        <f t="shared" si="5"/>
        <v>-7.4374999999999716</v>
      </c>
      <c r="Q62" s="20">
        <f t="shared" si="6"/>
        <v>0.9535156250000002</v>
      </c>
      <c r="R62" s="170">
        <f>Q68</f>
        <v>0.95551523106719272</v>
      </c>
      <c r="S62" s="27">
        <v>8.3333333333333329E-2</v>
      </c>
      <c r="T62" s="27">
        <v>0.12777777777777777</v>
      </c>
      <c r="U62" s="27"/>
      <c r="V62" s="21">
        <f t="shared" ref="V62:V67" si="47">(T62-S62)*24*60</f>
        <v>63.999999999999986</v>
      </c>
      <c r="W62" s="22">
        <f>T62</f>
        <v>0.12777777777777777</v>
      </c>
      <c r="X62" s="22">
        <f>S63</f>
        <v>0.14513888888888885</v>
      </c>
      <c r="Y62" s="22"/>
      <c r="Z62" s="22"/>
      <c r="AA62" s="162"/>
      <c r="AB62" s="162"/>
      <c r="AC62" s="24">
        <v>6</v>
      </c>
      <c r="AD62" s="24"/>
      <c r="AE62" s="18">
        <f t="shared" si="43"/>
        <v>-111.56249999999955</v>
      </c>
      <c r="AF62" s="20">
        <f t="shared" si="9"/>
        <v>0.9535156250000002</v>
      </c>
      <c r="AG62" s="170">
        <f>AF68</f>
        <v>0.95551523106719272</v>
      </c>
    </row>
    <row r="63" spans="1:33" ht="15.75" customHeight="1">
      <c r="A63" s="168" t="s">
        <v>2785</v>
      </c>
      <c r="B63" s="4" t="s">
        <v>97</v>
      </c>
      <c r="C63" s="163" t="s">
        <v>129</v>
      </c>
      <c r="D63" s="163"/>
      <c r="E63" s="35">
        <v>24.45</v>
      </c>
      <c r="F63" s="4">
        <v>2807</v>
      </c>
      <c r="G63" s="4">
        <f t="shared" si="45"/>
        <v>68631.149999999994</v>
      </c>
      <c r="H63" s="21" t="s">
        <v>133</v>
      </c>
      <c r="I63" s="15">
        <v>19</v>
      </c>
      <c r="J63" s="17">
        <v>2400</v>
      </c>
      <c r="K63" s="16">
        <f t="shared" si="1"/>
        <v>126.31578947368421</v>
      </c>
      <c r="L63" s="15">
        <v>19</v>
      </c>
      <c r="M63" s="17">
        <f t="shared" si="46"/>
        <v>2307.1232876712334</v>
      </c>
      <c r="N63" s="16">
        <f t="shared" si="3"/>
        <v>121.42754145638071</v>
      </c>
      <c r="O63" s="18">
        <f t="shared" si="4"/>
        <v>0</v>
      </c>
      <c r="P63" s="19">
        <f t="shared" si="5"/>
        <v>-4.8882480173034963</v>
      </c>
      <c r="Q63" s="20">
        <f t="shared" si="6"/>
        <v>0.96130136986301395</v>
      </c>
      <c r="R63" s="170"/>
      <c r="S63" s="27">
        <v>0.14513888888888885</v>
      </c>
      <c r="T63" s="27">
        <v>0.19583333333333328</v>
      </c>
      <c r="U63" s="4">
        <f t="shared" ref="U63:U67" si="48">(S63-T62)*24*60</f>
        <v>24.99999999999995</v>
      </c>
      <c r="V63" s="21">
        <f t="shared" si="47"/>
        <v>72.999999999999986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-92.876712328766644</v>
      </c>
      <c r="AF63" s="20">
        <f t="shared" si="9"/>
        <v>0.96130136986301384</v>
      </c>
      <c r="AG63" s="170"/>
    </row>
    <row r="64" spans="1:33" ht="15.75" customHeight="1">
      <c r="A64" s="168" t="s">
        <v>2786</v>
      </c>
      <c r="B64" s="4" t="s">
        <v>97</v>
      </c>
      <c r="C64" s="163" t="s">
        <v>106</v>
      </c>
      <c r="D64" s="163"/>
      <c r="E64" s="35">
        <v>20.21</v>
      </c>
      <c r="F64" s="4">
        <v>2806</v>
      </c>
      <c r="G64" s="4">
        <f t="shared" si="45"/>
        <v>56709.26</v>
      </c>
      <c r="H64" s="21" t="s">
        <v>133</v>
      </c>
      <c r="I64" s="15">
        <v>15</v>
      </c>
      <c r="J64" s="17">
        <v>2400</v>
      </c>
      <c r="K64" s="16">
        <f t="shared" si="1"/>
        <v>160</v>
      </c>
      <c r="L64" s="15">
        <v>15</v>
      </c>
      <c r="M64" s="17">
        <f t="shared" si="46"/>
        <v>2306.3013698630143</v>
      </c>
      <c r="N64" s="16">
        <f t="shared" si="3"/>
        <v>153.75342465753428</v>
      </c>
      <c r="O64" s="18">
        <f t="shared" si="4"/>
        <v>0</v>
      </c>
      <c r="P64" s="19">
        <f t="shared" si="5"/>
        <v>-6.246575342465718</v>
      </c>
      <c r="Q64" s="20">
        <f t="shared" si="6"/>
        <v>0.96095890410958928</v>
      </c>
      <c r="R64" s="170"/>
      <c r="S64" s="27">
        <v>0.2006944444444444</v>
      </c>
      <c r="T64" s="27">
        <v>0.25138888888888883</v>
      </c>
      <c r="U64" s="4">
        <f t="shared" si="48"/>
        <v>7.0000000000000151</v>
      </c>
      <c r="V64" s="21">
        <f t="shared" si="47"/>
        <v>72.999999999999986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3"/>
        <v>-93.698630136985685</v>
      </c>
      <c r="AF64" s="20">
        <f t="shared" si="9"/>
        <v>0.96095890410958928</v>
      </c>
      <c r="AG64" s="170"/>
    </row>
    <row r="65" spans="1:33" ht="15.75" customHeight="1">
      <c r="A65" s="168" t="s">
        <v>76</v>
      </c>
      <c r="B65" s="4" t="s">
        <v>97</v>
      </c>
      <c r="C65" s="163" t="s">
        <v>130</v>
      </c>
      <c r="D65" s="163"/>
      <c r="E65" s="35">
        <v>24.43</v>
      </c>
      <c r="F65" s="4">
        <v>7270</v>
      </c>
      <c r="G65" s="4">
        <f t="shared" si="45"/>
        <v>177606.1</v>
      </c>
      <c r="H65" s="21" t="s">
        <v>133</v>
      </c>
      <c r="I65" s="15">
        <v>14</v>
      </c>
      <c r="J65" s="17">
        <v>2400</v>
      </c>
      <c r="K65" s="16">
        <f t="shared" si="1"/>
        <v>171.42857142857142</v>
      </c>
      <c r="L65" s="15">
        <v>14</v>
      </c>
      <c r="M65" s="17">
        <f t="shared" si="46"/>
        <v>2283.7696335078531</v>
      </c>
      <c r="N65" s="16">
        <f t="shared" si="3"/>
        <v>163.12640239341809</v>
      </c>
      <c r="O65" s="18">
        <f t="shared" si="4"/>
        <v>0</v>
      </c>
      <c r="P65" s="19">
        <f t="shared" si="5"/>
        <v>-8.3021690351533266</v>
      </c>
      <c r="Q65" s="20">
        <f t="shared" si="6"/>
        <v>0.95157068062827221</v>
      </c>
      <c r="R65" s="170"/>
      <c r="S65" s="27">
        <v>0.25486111111111104</v>
      </c>
      <c r="T65" s="27">
        <v>0.38749999999999996</v>
      </c>
      <c r="U65" s="4">
        <f t="shared" si="48"/>
        <v>4.9999999999999822</v>
      </c>
      <c r="V65" s="21">
        <f t="shared" si="47"/>
        <v>191.00000000000003</v>
      </c>
      <c r="W65" s="22"/>
      <c r="X65" s="22"/>
      <c r="Y65" s="22"/>
      <c r="Z65" s="22"/>
      <c r="AA65" s="162"/>
      <c r="AB65" s="162"/>
      <c r="AC65" s="24"/>
      <c r="AD65" s="24"/>
      <c r="AE65" s="18">
        <f t="shared" si="43"/>
        <v>-116.23036649214691</v>
      </c>
      <c r="AF65" s="20">
        <f t="shared" si="9"/>
        <v>0.9515706806282721</v>
      </c>
      <c r="AG65" s="170"/>
    </row>
    <row r="66" spans="1:33" ht="15.75" customHeight="1">
      <c r="A66" s="168" t="s">
        <v>2785</v>
      </c>
      <c r="B66" s="4" t="s">
        <v>97</v>
      </c>
      <c r="C66" s="163" t="s">
        <v>132</v>
      </c>
      <c r="D66" s="163"/>
      <c r="E66" s="35">
        <v>19.02</v>
      </c>
      <c r="F66" s="4">
        <v>6200</v>
      </c>
      <c r="G66" s="4">
        <f t="shared" si="45"/>
        <v>117924</v>
      </c>
      <c r="H66" s="21">
        <v>2</v>
      </c>
      <c r="I66" s="15">
        <v>14</v>
      </c>
      <c r="J66" s="17">
        <v>2400</v>
      </c>
      <c r="K66" s="16">
        <f t="shared" si="1"/>
        <v>171.42857142857142</v>
      </c>
      <c r="L66" s="15">
        <v>14</v>
      </c>
      <c r="M66" s="17">
        <f t="shared" si="46"/>
        <v>2282.2085889570544</v>
      </c>
      <c r="N66" s="16">
        <f t="shared" si="3"/>
        <v>163.01489921121816</v>
      </c>
      <c r="O66" s="18">
        <f t="shared" si="4"/>
        <v>0</v>
      </c>
      <c r="P66" s="19">
        <f t="shared" si="5"/>
        <v>-8.4136722173532519</v>
      </c>
      <c r="Q66" s="20">
        <f t="shared" si="6"/>
        <v>0.95092024539877273</v>
      </c>
      <c r="R66" s="170"/>
      <c r="S66" s="27">
        <v>0.39097222222222217</v>
      </c>
      <c r="T66" s="27">
        <v>0.50416666666666665</v>
      </c>
      <c r="U66" s="4">
        <f t="shared" si="48"/>
        <v>4.9999999999999822</v>
      </c>
      <c r="V66" s="21">
        <f t="shared" si="47"/>
        <v>163.00000000000006</v>
      </c>
      <c r="W66" s="22">
        <f>T66</f>
        <v>0.50416666666666665</v>
      </c>
      <c r="X66" s="22">
        <f>S67</f>
        <v>0.5444444444444444</v>
      </c>
      <c r="Y66" s="22"/>
      <c r="Z66" s="22"/>
      <c r="AA66" s="162"/>
      <c r="AB66" s="162"/>
      <c r="AC66" s="24"/>
      <c r="AD66" s="24"/>
      <c r="AE66" s="18">
        <f t="shared" si="43"/>
        <v>-117.79141104294558</v>
      </c>
      <c r="AF66" s="20">
        <f t="shared" si="9"/>
        <v>0.95092024539877262</v>
      </c>
      <c r="AG66" s="170"/>
    </row>
    <row r="67" spans="1:33" ht="15.75" customHeight="1">
      <c r="A67" s="168" t="s">
        <v>76</v>
      </c>
      <c r="B67" s="4" t="s">
        <v>97</v>
      </c>
      <c r="C67" s="163" t="s">
        <v>132</v>
      </c>
      <c r="D67" s="163"/>
      <c r="E67" s="35">
        <v>19.02</v>
      </c>
      <c r="F67" s="4">
        <v>4354</v>
      </c>
      <c r="G67" s="4">
        <f t="shared" si="45"/>
        <v>82813.08</v>
      </c>
      <c r="H67" s="21" t="s">
        <v>133</v>
      </c>
      <c r="I67" s="15">
        <v>14</v>
      </c>
      <c r="J67" s="17">
        <v>2400</v>
      </c>
      <c r="K67" s="16">
        <f t="shared" si="1"/>
        <v>171.42857142857142</v>
      </c>
      <c r="L67" s="15">
        <v>14</v>
      </c>
      <c r="M67" s="17">
        <f t="shared" si="46"/>
        <v>2291.5789473684199</v>
      </c>
      <c r="N67" s="16">
        <f t="shared" si="3"/>
        <v>163.6842105263157</v>
      </c>
      <c r="O67" s="18">
        <f t="shared" si="4"/>
        <v>0</v>
      </c>
      <c r="P67" s="19">
        <f t="shared" si="5"/>
        <v>-7.7443609022557212</v>
      </c>
      <c r="Q67" s="20">
        <f t="shared" si="6"/>
        <v>0.95482456140350824</v>
      </c>
      <c r="R67" s="170"/>
      <c r="S67" s="27">
        <v>0.5444444444444444</v>
      </c>
      <c r="T67" s="27">
        <v>0.62361111111111112</v>
      </c>
      <c r="U67" s="4">
        <f t="shared" si="48"/>
        <v>57.999999999999957</v>
      </c>
      <c r="V67" s="21">
        <f t="shared" si="47"/>
        <v>114.00000000000007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3"/>
        <v>-108.4210526315801</v>
      </c>
      <c r="AF67" s="20">
        <f t="shared" si="9"/>
        <v>0.95482456140350824</v>
      </c>
      <c r="AG67" s="170"/>
    </row>
    <row r="68" spans="1:33" ht="16.5" customHeight="1">
      <c r="A68" s="169" t="s">
        <v>76</v>
      </c>
      <c r="B68" s="35" t="s">
        <v>48</v>
      </c>
      <c r="C68" s="164"/>
      <c r="D68" s="165"/>
      <c r="E68" s="36"/>
      <c r="F68" s="16"/>
      <c r="G68" s="16"/>
      <c r="H68" s="4"/>
      <c r="I68" s="29">
        <v>15.166666666666666</v>
      </c>
      <c r="J68" s="17">
        <v>2400</v>
      </c>
      <c r="K68" s="16">
        <f t="shared" si="1"/>
        <v>158.24175824175825</v>
      </c>
      <c r="L68" s="29">
        <v>15.166666666666666</v>
      </c>
      <c r="M68" s="17">
        <f>AVERAGE(M62:M67)</f>
        <v>2293.2365545612624</v>
      </c>
      <c r="N68" s="16">
        <f t="shared" si="3"/>
        <v>151.20241019085248</v>
      </c>
      <c r="O68" s="18">
        <f t="shared" si="4"/>
        <v>0</v>
      </c>
      <c r="P68" s="19">
        <f t="shared" si="5"/>
        <v>-7.0393480509057724</v>
      </c>
      <c r="Q68" s="20">
        <f t="shared" si="6"/>
        <v>0.95551523106719272</v>
      </c>
      <c r="R68" s="170"/>
      <c r="S68" s="27"/>
      <c r="T68" s="27"/>
      <c r="U68" s="16"/>
      <c r="V68" s="21"/>
      <c r="W68" s="16"/>
      <c r="X68" s="16"/>
      <c r="Y68" s="30">
        <f>SUM(Y62:Y67)</f>
        <v>0</v>
      </c>
      <c r="Z68" s="30">
        <f>SUM(Z62:Z67)</f>
        <v>0</v>
      </c>
      <c r="AA68" s="166"/>
      <c r="AB68" s="166"/>
      <c r="AC68" s="30">
        <v>6</v>
      </c>
      <c r="AD68" s="30">
        <f>SUM(AD62:AD67)</f>
        <v>0</v>
      </c>
      <c r="AE68" s="18">
        <f t="shared" si="43"/>
        <v>-106.76344543873756</v>
      </c>
      <c r="AF68" s="20">
        <f t="shared" si="9"/>
        <v>0.95551523106719272</v>
      </c>
      <c r="AG68" s="170"/>
    </row>
    <row r="69" spans="1:33">
      <c r="D69" s="41"/>
      <c r="E69" s="41"/>
    </row>
  </sheetData>
  <mergeCells count="18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A19:A25"/>
    <mergeCell ref="C19:D19"/>
    <mergeCell ref="R19:R25"/>
    <mergeCell ref="AA19:AB19"/>
    <mergeCell ref="AA24:AB24"/>
    <mergeCell ref="C25:D25"/>
    <mergeCell ref="AG26:AG32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C30:D30"/>
    <mergeCell ref="AA30:AB30"/>
    <mergeCell ref="C31:D31"/>
    <mergeCell ref="AA31:AB31"/>
    <mergeCell ref="AA25:AB25"/>
    <mergeCell ref="A26:A32"/>
    <mergeCell ref="C26:D26"/>
    <mergeCell ref="R26:R32"/>
    <mergeCell ref="AA26:AB26"/>
    <mergeCell ref="C32:D32"/>
    <mergeCell ref="AA32:AB32"/>
    <mergeCell ref="A33:A40"/>
    <mergeCell ref="C33:D33"/>
    <mergeCell ref="R33:R40"/>
    <mergeCell ref="AA33:AB33"/>
    <mergeCell ref="AA38:AB38"/>
    <mergeCell ref="C39:D39"/>
    <mergeCell ref="AA39:AB39"/>
    <mergeCell ref="C40:D40"/>
    <mergeCell ref="AA40:AB40"/>
    <mergeCell ref="A41:A46"/>
    <mergeCell ref="C41:D41"/>
    <mergeCell ref="R41:R46"/>
    <mergeCell ref="AA41:AB41"/>
    <mergeCell ref="AG41:AG46"/>
    <mergeCell ref="C42:D42"/>
    <mergeCell ref="AA42:AB42"/>
    <mergeCell ref="C43:D43"/>
    <mergeCell ref="AA43:AB43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G47:AG55"/>
    <mergeCell ref="C48:D48"/>
    <mergeCell ref="AA48:AB48"/>
    <mergeCell ref="C49:D49"/>
    <mergeCell ref="AA49:AB49"/>
    <mergeCell ref="AA50:AB50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56:A61"/>
    <mergeCell ref="C56:D56"/>
    <mergeCell ref="R56:R61"/>
    <mergeCell ref="AA56:AB56"/>
    <mergeCell ref="AA61:AB61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62:AG68"/>
    <mergeCell ref="C63:D63"/>
    <mergeCell ref="AA63:AB63"/>
    <mergeCell ref="C64:D64"/>
    <mergeCell ref="AA64:AB64"/>
    <mergeCell ref="C65:D65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A65:AB65"/>
    <mergeCell ref="C66:D66"/>
    <mergeCell ref="AA66:AB66"/>
    <mergeCell ref="C67:D67"/>
    <mergeCell ref="AA67:AB67"/>
    <mergeCell ref="C68:D68"/>
    <mergeCell ref="AA68:AB68"/>
    <mergeCell ref="A62:A68"/>
    <mergeCell ref="C62:D62"/>
    <mergeCell ref="R62:R68"/>
    <mergeCell ref="AA62:AB62"/>
  </mergeCells>
  <phoneticPr fontId="3" type="noConversion"/>
  <conditionalFormatting sqref="O5:O68">
    <cfRule type="cellIs" dxfId="266" priority="9" operator="greaterThan">
      <formula>0</formula>
    </cfRule>
  </conditionalFormatting>
  <conditionalFormatting sqref="P5:P68">
    <cfRule type="cellIs" dxfId="265" priority="1" operator="lessThan">
      <formula>0</formula>
    </cfRule>
  </conditionalFormatting>
  <conditionalFormatting sqref="Q5:Q68 AF5:AF68">
    <cfRule type="cellIs" dxfId="264" priority="10" operator="greaterThan">
      <formula>1</formula>
    </cfRule>
    <cfRule type="cellIs" dxfId="263" priority="11" operator="lessThan">
      <formula>0.8</formula>
    </cfRule>
  </conditionalFormatting>
  <conditionalFormatting sqref="R5:R10 AG5:AG10">
    <cfRule type="cellIs" dxfId="262" priority="47" operator="lessThan">
      <formula>0.8</formula>
    </cfRule>
  </conditionalFormatting>
  <conditionalFormatting sqref="AE5:AE68">
    <cfRule type="cellIs" dxfId="261" priority="12" operator="lessThan">
      <formula>0</formula>
    </cfRule>
  </conditionalFormatting>
  <conditionalFormatting sqref="AG14:AG59 R14:R68">
    <cfRule type="cellIs" dxfId="260" priority="13" operator="lessThan">
      <formula>0.8</formula>
    </cfRule>
  </conditionalFormatting>
  <dataValidations count="1">
    <dataValidation type="list" allowBlank="1" showInputMessage="1" showErrorMessage="1" sqref="AB9 AA5:AB8 AB60 AB11:AB56 AA9:AA60 AA61:AB68" xr:uid="{00000000-0002-0000-0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32"/>
  <sheetViews>
    <sheetView zoomScale="85" zoomScaleNormal="85" workbookViewId="0"/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2611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2612</v>
      </c>
      <c r="C3" s="151" t="str">
        <f>TEXT('0330 4度C'!A2,"yyyy.mm.ddaaaa")</f>
        <v>2026.03.30星期一</v>
      </c>
      <c r="D3" s="152"/>
      <c r="E3" s="45" t="s">
        <v>2613</v>
      </c>
      <c r="F3" s="153">
        <f>'0330 4度C'!D1</f>
        <v>168199</v>
      </c>
      <c r="G3" s="154"/>
      <c r="H3" s="45" t="s">
        <v>2614</v>
      </c>
      <c r="I3" s="155">
        <f>'0330 4度C'!F1</f>
        <v>5588964.2300000004</v>
      </c>
      <c r="J3" s="156"/>
      <c r="K3" s="46"/>
      <c r="L3" s="47"/>
      <c r="M3" s="47"/>
      <c r="N3" s="47"/>
    </row>
    <row r="4" spans="2:17" ht="28.5" customHeight="1">
      <c r="B4" s="157" t="s">
        <v>2615</v>
      </c>
      <c r="C4" s="143" t="s">
        <v>2616</v>
      </c>
      <c r="D4" s="144"/>
      <c r="E4" s="160" t="s">
        <v>2617</v>
      </c>
      <c r="F4" s="161"/>
      <c r="G4" s="160" t="s">
        <v>2618</v>
      </c>
      <c r="H4" s="161"/>
      <c r="I4" s="160" t="s">
        <v>2619</v>
      </c>
      <c r="J4" s="161"/>
      <c r="K4" s="141" t="s">
        <v>2620</v>
      </c>
      <c r="L4" s="142"/>
      <c r="M4" s="142" t="s">
        <v>2621</v>
      </c>
      <c r="N4" s="142"/>
    </row>
    <row r="5" spans="2:17" ht="28.5" customHeight="1">
      <c r="B5" s="158"/>
      <c r="C5" s="143" t="s">
        <v>2622</v>
      </c>
      <c r="D5" s="144"/>
      <c r="E5" s="143" t="s">
        <v>2623</v>
      </c>
      <c r="F5" s="144"/>
      <c r="G5" s="145" t="s">
        <v>2624</v>
      </c>
      <c r="H5" s="146"/>
      <c r="I5" s="147" t="s">
        <v>2625</v>
      </c>
      <c r="J5" s="148"/>
      <c r="K5" s="48" t="s">
        <v>2626</v>
      </c>
      <c r="L5" s="49" t="s">
        <v>2627</v>
      </c>
      <c r="M5" s="48" t="s">
        <v>2626</v>
      </c>
      <c r="N5" s="49" t="s">
        <v>2628</v>
      </c>
    </row>
    <row r="6" spans="2:17" ht="28.5" customHeight="1">
      <c r="B6" s="158"/>
      <c r="C6" s="143" t="s">
        <v>153</v>
      </c>
      <c r="D6" s="144"/>
      <c r="E6" s="135">
        <f>AVERAGE(D13:M13)</f>
        <v>155.66760726461803</v>
      </c>
      <c r="F6" s="136">
        <f>AVERAGE(D31:O31,D13:J13)</f>
        <v>161.87503192790444</v>
      </c>
      <c r="G6" s="137">
        <f>AVERAGE(D13:J13)</f>
        <v>161.87503192790444</v>
      </c>
      <c r="H6" s="138"/>
      <c r="I6" s="137">
        <f>AVERAGE(K13:M13)</f>
        <v>141.1836163836164</v>
      </c>
      <c r="J6" s="138"/>
      <c r="K6" s="139">
        <f>'0330 4度C'!Y2</f>
        <v>0</v>
      </c>
      <c r="L6" s="124">
        <f>'0330 4度C'!Z2</f>
        <v>0</v>
      </c>
      <c r="M6" s="140">
        <f>'0330 4度C'!AC2</f>
        <v>54</v>
      </c>
      <c r="N6" s="124">
        <f>'0330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149.21971271493675</v>
      </c>
      <c r="F7" s="128">
        <f>AVERAGE(D32:O32,D14:J14)</f>
        <v>155.40355804232374</v>
      </c>
      <c r="G7" s="129">
        <f>AVERAGE(D14:J14)</f>
        <v>155.40355804232374</v>
      </c>
      <c r="H7" s="130"/>
      <c r="I7" s="129">
        <f>AVERAGE(K14:M14)</f>
        <v>134.79074028436705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0.95827783259331767</v>
      </c>
      <c r="F8" s="132">
        <f>AVERAGE(D15:J15,D33:O33)</f>
        <v>0.95975141524894469</v>
      </c>
      <c r="G8" s="133">
        <f>AVERAGE(D15:J15)</f>
        <v>0.95975141524894469</v>
      </c>
      <c r="H8" s="134"/>
      <c r="I8" s="133">
        <f>AVERAGE(K15:M15)</f>
        <v>0.95483947306352102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2629</v>
      </c>
      <c r="N9" s="47"/>
      <c r="O9" s="47"/>
      <c r="P9" s="47"/>
      <c r="Q9" s="47"/>
    </row>
    <row r="10" spans="2:17" ht="30" customHeight="1">
      <c r="B10" s="107" t="s">
        <v>527</v>
      </c>
      <c r="C10" s="108"/>
      <c r="D10" s="109" t="s">
        <v>2630</v>
      </c>
      <c r="E10" s="110"/>
      <c r="F10" s="110"/>
      <c r="G10" s="110"/>
      <c r="H10" s="110"/>
      <c r="I10" s="110"/>
      <c r="J10" s="111"/>
      <c r="K10" s="112" t="s">
        <v>323</v>
      </c>
      <c r="L10" s="113"/>
      <c r="M10" s="114"/>
      <c r="P10" s="53"/>
      <c r="Q10" s="53"/>
    </row>
    <row r="11" spans="2:17" ht="17.25" customHeight="1">
      <c r="B11" s="115" t="s">
        <v>2631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2632</v>
      </c>
      <c r="C13" s="60" t="s">
        <v>2633</v>
      </c>
      <c r="D13" s="61">
        <f>SUMIFS('0330 4度C'!$K:$K,'0330 4度C'!$A:$A,"新豐6線",'0330 4度C'!$B:$B,"平均")</f>
        <v>111.11111111111111</v>
      </c>
      <c r="E13" s="62">
        <f>SUMIFS('0330 4度C'!$K:$K,'0330 4度C'!$A:$A,"新豐2線",'0330 4度C'!$B:$B,"平均")</f>
        <v>84.905660377358487</v>
      </c>
      <c r="F13" s="63">
        <f>SUMIFS('0330 4度C'!$K:$K,'0330 4度C'!$A:$A,"新豐5線",'0330 4度C'!$B:$B,"平均")</f>
        <v>102.73972602739725</v>
      </c>
      <c r="G13" s="63">
        <f>SUMIFS('0330 4度C'!$K:$K,'0330 4度C'!$A:$A,"新豐7線",'0330 4度C'!$B:$B,"平均")</f>
        <v>127.77777777777779</v>
      </c>
      <c r="H13" s="63">
        <f>SUMIFS('0330 4度C'!$K:$K,'0330 4度C'!$A:$A,"新豐3線",'0330 4度C'!$B:$B,"平均")</f>
        <v>333.33333333333331</v>
      </c>
      <c r="I13" s="63">
        <f>SUMIFS('0330 4度C'!$K:$K,'0330 4度C'!$A:$A,"新豐1線",'0330 4度C'!$B:$B,"平均")</f>
        <v>104.02684563758389</v>
      </c>
      <c r="J13" s="64">
        <f>SUMIFS('0330 4度C'!$K:$K,'0330 4度C'!$A:$A,"新豐10線",'0330 4度C'!$B:$B,"平均")</f>
        <v>269.23076923076923</v>
      </c>
      <c r="K13" s="65">
        <f>SUMIFS('0330 4度C'!$K:$K,'0330 4度C'!$A:$A,"新豐8線",'0330 4度C'!$B:$B,"平均")</f>
        <v>130.90909090909091</v>
      </c>
      <c r="L13" s="66">
        <f>SUMIFS('0330 4度C'!$K:$K,'0330 4度C'!$A:$A,"新豐9線",'0330 4度C'!$B:$B,"平均")</f>
        <v>134.4</v>
      </c>
      <c r="M13" s="64">
        <f>SUMIFS('0330 4度C'!$K:$K,'0330 4度C'!$A:$A,"新豐4線",'0330 4度C'!$B:$B,"平均")</f>
        <v>158.24175824175825</v>
      </c>
    </row>
    <row r="14" spans="2:17" ht="39.6" customHeight="1">
      <c r="B14" s="120"/>
      <c r="C14" s="67" t="s">
        <v>533</v>
      </c>
      <c r="D14" s="68">
        <f>SUMIFS('0330 4度C'!$N:$N,'0330 4度C'!$A:$A,"新豐6線",'0330 4度C'!$B:$B,"平均")</f>
        <v>107.59280303030316</v>
      </c>
      <c r="E14" s="69">
        <f>SUMIFS('0330 4度C'!$N:$N,'0330 4度C'!$A:$A,"新豐2線",'0330 4度C'!$B:$B,"平均")</f>
        <v>80.990089892286321</v>
      </c>
      <c r="F14" s="69">
        <f>SUMIFS('0330 4度C'!$N:$N,'0330 4度C'!$A:$A,"新豐5線",'0330 4度C'!$B:$B,"平均")</f>
        <v>98.502521274309956</v>
      </c>
      <c r="G14" s="69">
        <f>SUMIFS('0330 4度C'!$N:$N,'0330 4度C'!$A:$A,"新豐7線",'0330 4度C'!$B:$B,"平均")</f>
        <v>122.59423909730748</v>
      </c>
      <c r="H14" s="69">
        <f>SUMIFS('0330 4度C'!$N:$N,'0330 4度C'!$A:$A,"新豐3線",'0330 4度C'!$B:$B,"平均")</f>
        <v>319.18008103823036</v>
      </c>
      <c r="I14" s="69">
        <f>SUMIFS('0330 4度C'!$N:$N,'0330 4度C'!$A:$A,"新豐1線",'0330 4度C'!$B:$B,"平均")</f>
        <v>99.516690957324712</v>
      </c>
      <c r="J14" s="70">
        <f>SUMIFS('0330 4度C'!$N:$N,'0330 4度C'!$A:$A,"新豐10線",'0330 4度C'!$B:$B,"平均")</f>
        <v>259.4484810065041</v>
      </c>
      <c r="K14" s="71">
        <f>SUMIFS('0330 4度C'!$N:$N,'0330 4度C'!$A:$A,"新豐8線",'0330 4度C'!$B:$B,"平均")</f>
        <v>125.02276503989201</v>
      </c>
      <c r="L14" s="72">
        <f>SUMIFS('0330 4度C'!$N:$N,'0330 4度C'!$A:$A,"新豐9線",'0330 4度C'!$B:$B,"平均")</f>
        <v>128.58694000599749</v>
      </c>
      <c r="M14" s="70">
        <f>SUMIFS('0330 4度C'!$N:$N,'0330 4度C'!$A:$A,"新豐4線",'0330 4度C'!$B:$B,"平均")</f>
        <v>150.76251580721163</v>
      </c>
    </row>
    <row r="15" spans="2:17" ht="40.15" customHeight="1">
      <c r="B15" s="121"/>
      <c r="C15" s="73" t="s">
        <v>2634</v>
      </c>
      <c r="D15" s="74">
        <f t="shared" ref="D15:M15" si="0">D14/D13</f>
        <v>0.96833522727272836</v>
      </c>
      <c r="E15" s="75">
        <f t="shared" si="0"/>
        <v>0.95388328095359454</v>
      </c>
      <c r="F15" s="75">
        <f t="shared" si="0"/>
        <v>0.95875787373661692</v>
      </c>
      <c r="G15" s="75">
        <f t="shared" si="0"/>
        <v>0.95943317554414542</v>
      </c>
      <c r="H15" s="75">
        <f t="shared" si="0"/>
        <v>0.9575402431146911</v>
      </c>
      <c r="I15" s="75">
        <f t="shared" si="0"/>
        <v>0.95664431952525053</v>
      </c>
      <c r="J15" s="76">
        <f t="shared" si="0"/>
        <v>0.96366578659558666</v>
      </c>
      <c r="K15" s="74">
        <f t="shared" si="0"/>
        <v>0.95503501072139729</v>
      </c>
      <c r="L15" s="75">
        <f t="shared" si="0"/>
        <v>0.95674806552081459</v>
      </c>
      <c r="M15" s="76">
        <f t="shared" si="0"/>
        <v>0.95273534294835127</v>
      </c>
    </row>
    <row r="16" spans="2:17" ht="17.25" customHeight="1">
      <c r="B16" s="122" t="s">
        <v>2635</v>
      </c>
      <c r="C16" s="77" t="s">
        <v>434</v>
      </c>
      <c r="D16" s="78">
        <f>VLOOKUP("新豐6線",'0330 4度C'!$A:$T,19,0)</f>
        <v>0.70833333333333337</v>
      </c>
      <c r="E16" s="79">
        <f>VLOOKUP("新豐2線",'0330 4度C'!$A:$T,19,0)</f>
        <v>0.20833333333333334</v>
      </c>
      <c r="F16" s="79">
        <f>VLOOKUP("新豐5線",'0330 4度C'!$A:$T,19,0)</f>
        <v>0.20833333333333334</v>
      </c>
      <c r="G16" s="79">
        <f>VLOOKUP("新豐7線",'0330 4度C'!$A:$T,19,0)</f>
        <v>0.20833333333333334</v>
      </c>
      <c r="H16" s="79">
        <f>VLOOKUP("新豐3線",'0330 4度C'!$A:$T,19,0)</f>
        <v>8.3333333333333329E-2</v>
      </c>
      <c r="I16" s="79">
        <f>VLOOKUP("新豐1線",'0330 4度C'!$A:$T,19,0)</f>
        <v>0.20833333333333334</v>
      </c>
      <c r="J16" s="80">
        <f>VLOOKUP("新豐10線",'0330 4度C'!$A:$T,19,0)</f>
        <v>0.20833333333333334</v>
      </c>
      <c r="K16" s="81">
        <f>VLOOKUP("新豐8線",'0330 4度C'!$A:$T,19,0)</f>
        <v>8.3333333333333329E-2</v>
      </c>
      <c r="L16" s="82">
        <f>VLOOKUP("新豐9線",'0330 4度C'!$A:$T,19,0)</f>
        <v>8.3333333333333329E-2</v>
      </c>
      <c r="M16" s="83">
        <f>VLOOKUP("新豐4線",'0330 4度C'!$A:$T,19,0)</f>
        <v>8.3333333333333329E-2</v>
      </c>
    </row>
    <row r="17" spans="2:13" ht="17.25" customHeight="1">
      <c r="B17" s="123"/>
      <c r="C17" s="77" t="s">
        <v>329</v>
      </c>
      <c r="D17" s="81">
        <f>LOOKUP(2,1/(('0330 4度C'!$A:$A="新豐6線")*('0330 4度C'!$T:$T&lt;&gt;"")),'0330 4度C'!$T:$T)</f>
        <v>0.82777777777777772</v>
      </c>
      <c r="E17" s="79">
        <f>LOOKUP(2,1/(('0330 4度C'!$A:$A="新豐2線")*('0330 4度C'!$T:$T&lt;&gt;"")),'0330 4度C'!$T:$T)</f>
        <v>0.61180555555555549</v>
      </c>
      <c r="F17" s="79">
        <f>LOOKUP(2,1/(('0330 4度C'!$A:$A="新豐5線")*('0330 4度C'!$T:$T&lt;&gt;"")),'0330 4度C'!$T:$T)</f>
        <v>0.84375</v>
      </c>
      <c r="G17" s="79">
        <f>LOOKUP(2,1/(('0330 4度C'!$A:$A="新豐7線")*('0330 4度C'!$T:$T&lt;&gt;"")),'0330 4度C'!$T:$T)</f>
        <v>0.85069444444444442</v>
      </c>
      <c r="H17" s="79">
        <f>LOOKUP(2,1/(('0330 4度C'!$A:$A="新豐3線")*('0330 4度C'!$T:$T&lt;&gt;"")),'0330 4度C'!$T:$T)</f>
        <v>0.47222222222222215</v>
      </c>
      <c r="I17" s="79">
        <f>LOOKUP(2,1/(('0330 4度C'!$A:$A="新豐1線")*('0330 4度C'!$T:$T&lt;&gt;"")),'0330 4度C'!$T:$T)</f>
        <v>0.90208333333333335</v>
      </c>
      <c r="J17" s="80">
        <f>LOOKUP(2,1/(('0330 4度C'!$A:$A="新豐10線")*('0330 4度C'!$T:$T&lt;&gt;"")),'0330 4度C'!$T:$T)</f>
        <v>0.45347222222222228</v>
      </c>
      <c r="K17" s="78">
        <f>LOOKUP(2,1/(('0330 4度C'!$A:$A="新豐8線")*('0330 4度C'!$T:$T&lt;&gt;"")),'0330 4度C'!$T:$T)</f>
        <v>0.61805555555555547</v>
      </c>
      <c r="L17" s="79">
        <f>LOOKUP(2,1/(('0330 4度C'!$A:$A="新豐9線")*('0330 4度C'!$T:$T&lt;&gt;"")),'0330 4度C'!$T:$T)</f>
        <v>0.65347222222222212</v>
      </c>
      <c r="M17" s="80">
        <f>LOOKUP(2,1/(('0330 4度C'!$A:$A="新豐4線")*('0330 4度C'!$T:$T&lt;&gt;"")),'0330 4度C'!$T:$T)</f>
        <v>0.62777777777777777</v>
      </c>
    </row>
    <row r="18" spans="2:13" ht="17.25" customHeight="1">
      <c r="B18" s="101" t="s">
        <v>2636</v>
      </c>
      <c r="C18" s="84" t="s">
        <v>2637</v>
      </c>
      <c r="D18" s="85">
        <f>SUMIFS('0330 4度C'!$Y:$Y,'0330 4度C'!$A:$A,"新豐6線",'0330 4度C'!$B:$B,"平均")</f>
        <v>0</v>
      </c>
      <c r="E18" s="86">
        <f>SUMIFS('0330 4度C'!$Y:$Y,'0330 4度C'!$A:$A,"新豐2線",'0330 4度C'!$B:$B,"平均")</f>
        <v>0</v>
      </c>
      <c r="F18" s="86">
        <f>SUMIFS('0330 4度C'!$Y:$Y,'0330 4度C'!$A:$A,"新豐5線",'0330 4度C'!$B:$B,"平均")</f>
        <v>0</v>
      </c>
      <c r="G18" s="86">
        <f>SUMIFS('0330 4度C'!$Y:$Y,'0330 4度C'!$A:$A,"新豐7線",'0330 4度C'!$B:$B,"平均")</f>
        <v>0</v>
      </c>
      <c r="H18" s="86">
        <f>SUMIFS('0330 4度C'!$Y:$Y,'0330 4度C'!$A:$A,"新豐3線",'0330 4度C'!$B:$B,"平均")</f>
        <v>0</v>
      </c>
      <c r="I18" s="86">
        <f>SUMIFS('0330 4度C'!$Y:$Y,'0330 4度C'!$A:$A,"新豐1線",'0330 4度C'!$B:$B,"平均")</f>
        <v>0</v>
      </c>
      <c r="J18" s="87">
        <f>SUMIFS('0330 4度C'!$Y:$Y,'0330 4度C'!$A:$A,"新豐10線",'0330 4度C'!$B:$B,"平均")</f>
        <v>0</v>
      </c>
      <c r="K18" s="88">
        <f>SUMIFS('0330 4度C'!$Y:$Y,'0330 4度C'!$A:$A,"新豐8線",'0330 4度C'!$B:$B,"平均")</f>
        <v>0</v>
      </c>
      <c r="L18" s="86">
        <f>SUMIFS('0330 4度C'!$Y:$Y,'0330 4度C'!$A:$A,"新豐9線",'0330 4度C'!$B:$B,"平均")</f>
        <v>0</v>
      </c>
      <c r="M18" s="87">
        <f>SUMIFS('0330 4度C'!$Y:$Y,'0330 4度C'!$A:$A,"新豐4線",'0330 4度C'!$B:$B,"平均")</f>
        <v>0</v>
      </c>
    </row>
    <row r="19" spans="2:13" ht="17.25" customHeight="1">
      <c r="B19" s="102"/>
      <c r="C19" s="84" t="s">
        <v>42</v>
      </c>
      <c r="D19" s="85">
        <f>SUMIFS('0330 4度C'!$Z:$Z,'0330 4度C'!$A:$A,"新豐6線",'0330 4度C'!$B:$B,"平均")</f>
        <v>0</v>
      </c>
      <c r="E19" s="86">
        <f>SUMIFS('0330 4度C'!$Z:$Z,'0330 4度C'!$A:$A,"新豐2線",'0330 4度C'!$B:$B,"平均")</f>
        <v>0</v>
      </c>
      <c r="F19" s="86">
        <f>SUMIFS('0330 4度C'!$Z:$Z,'0330 4度C'!$A:$A,"新豐5線",'0330 4度C'!$B:$B,"平均")</f>
        <v>0</v>
      </c>
      <c r="G19" s="86">
        <f>SUMIFS('0330 4度C'!$Z:$Z,'0330 4度C'!$A:$A,"新豐7線",'0330 4度C'!$B:$B,"平均")</f>
        <v>0</v>
      </c>
      <c r="H19" s="86">
        <f>SUMIFS('0330 4度C'!$Z:$Z,'0330 4度C'!$A:$A,"新豐3線",'0330 4度C'!$B:$B,"平均")</f>
        <v>0</v>
      </c>
      <c r="I19" s="86">
        <f>SUMIFS('0330 4度C'!$Z:$Z,'0330 4度C'!$A:$A,"新豐1線",'0330 4度C'!$B:$B,"平均")</f>
        <v>0</v>
      </c>
      <c r="J19" s="87">
        <f>SUMIFS('0330 4度C'!$Z:$Z,'0330 4度C'!$A:$A,"新豐10線",'0330 4度C'!$B:$B,"平均")</f>
        <v>0</v>
      </c>
      <c r="K19" s="88">
        <f>SUMIFS('0330 4度C'!$Z:$Z,'0330 4度C'!$A:$A,"新豐8線",'0330 4度C'!$B:$B,"平均")</f>
        <v>0</v>
      </c>
      <c r="L19" s="86">
        <f>SUMIFS('0330 4度C'!$Z:$Z,'0330 4度C'!$A:$A,"新豐9線",'0330 4度C'!$B:$B,"平均")</f>
        <v>0</v>
      </c>
      <c r="M19" s="87">
        <f>SUMIFS('0330 4度C'!$Z:$Z,'0330 4度C'!$A:$A,"新豐4線",'0330 4度C'!$B:$B,"平均")</f>
        <v>0</v>
      </c>
    </row>
    <row r="20" spans="2:13" ht="17.25" customHeight="1">
      <c r="B20" s="101" t="s">
        <v>332</v>
      </c>
      <c r="C20" s="84" t="s">
        <v>41</v>
      </c>
      <c r="D20" s="85">
        <f>SUMIFS('0330 4度C'!$AC:$AC,'0330 4度C'!$A:$A,"新豐6線",'0330 4度C'!$B:$B,"平均")</f>
        <v>4</v>
      </c>
      <c r="E20" s="86">
        <f>SUMIFS('0330 4度C'!$AC:$AC,'0330 4度C'!$A:$A,"新豐2線",'0330 4度C'!$B:$B,"平均")</f>
        <v>3</v>
      </c>
      <c r="F20" s="86">
        <f>SUMIFS('0330 4度C'!$AC:$AC,'0330 4度C'!$A:$A,"新豐5線",'0330 4度C'!$B:$B,"平均")</f>
        <v>4</v>
      </c>
      <c r="G20" s="86">
        <f>SUMIFS('0330 4度C'!$AC:$AC,'0330 4度C'!$A:$A,"新豐7線",'0330 4度C'!$B:$B,"平均")</f>
        <v>6</v>
      </c>
      <c r="H20" s="86">
        <f>SUMIFS('0330 4度C'!$AC:$AC,'0330 4度C'!$A:$A,"新豐3線",'0330 4度C'!$B:$B,"平均")</f>
        <v>5</v>
      </c>
      <c r="I20" s="86">
        <f>SUMIFS('0330 4度C'!$AC:$AC,'0330 4度C'!$A:$A,"新豐1線",'0330 4度C'!$B:$B,"平均")</f>
        <v>8</v>
      </c>
      <c r="J20" s="87">
        <f>SUMIFS('0330 4度C'!$AC:$AC,'0330 4度C'!$A:$A,"新豐10線",'0330 4度C'!$B:$B,"平均")</f>
        <v>5</v>
      </c>
      <c r="K20" s="88">
        <f>SUMIFS('0330 4度C'!$AC:$AC,'0330 4度C'!$A:$A,"新豐8線",'0330 4度C'!$B:$B,"平均")</f>
        <v>6</v>
      </c>
      <c r="L20" s="86">
        <f>SUMIFS('0330 4度C'!$AC:$AC,'0330 4度C'!$A:$A,"新豐9線",'0330 4度C'!$B:$B,"平均")</f>
        <v>7</v>
      </c>
      <c r="M20" s="87">
        <f>SUMIFS('0330 4度C'!$AC:$AC,'0330 4度C'!$A:$A,"新豐4線",'0330 4度C'!$B:$B,"平均")</f>
        <v>6</v>
      </c>
    </row>
    <row r="21" spans="2:13" ht="17.25" customHeight="1">
      <c r="B21" s="102"/>
      <c r="C21" s="84" t="s">
        <v>2638</v>
      </c>
      <c r="D21" s="85">
        <f>SUMIFS('0330 4度C'!$AD:$AD,'0330 4度C'!$A:$A,"新豐6線",'0330 4度C'!$B:$B,"平均")</f>
        <v>0</v>
      </c>
      <c r="E21" s="86">
        <f>SUMIFS('0330 4度C'!$AD:$AD,'0330 4度C'!$A:$A,"新豐2線",'0330 4度C'!$B:$B,"平均")</f>
        <v>0</v>
      </c>
      <c r="F21" s="86">
        <f>SUMIFS('0330 4度C'!$AD:$AD,'0330 4度C'!$A:$A,"新豐5線",'0330 4度C'!$B:$B,"平均")</f>
        <v>0</v>
      </c>
      <c r="G21" s="86">
        <f>SUMIFS('0330 4度C'!$AD:$AD,'0330 4度C'!$A:$A,"新豐7線",'0330 4度C'!$B:$B,"平均")</f>
        <v>0</v>
      </c>
      <c r="H21" s="86">
        <f>SUMIFS('0330 4度C'!$AD:$AD,'0330 4度C'!$A:$A,"新豐3線",'0330 4度C'!$B:$B,"平均")</f>
        <v>0</v>
      </c>
      <c r="I21" s="86">
        <f>SUMIFS('0330 4度C'!$AD:$AD,'0330 4度C'!$A:$A,"新豐1線",'0330 4度C'!$B:$B,"平均")</f>
        <v>0</v>
      </c>
      <c r="J21" s="87">
        <f>SUMIFS('0330 4度C'!$AD:$AD,'0330 4度C'!$A:$A,"新豐10線",'0330 4度C'!$B:$B,"平均")</f>
        <v>0</v>
      </c>
      <c r="K21" s="88">
        <f>SUMIFS('0330 4度C'!$AD:$AD,'0330 4度C'!$A:$A,"新豐8線",'0330 4度C'!$B:$B,"平均")</f>
        <v>0</v>
      </c>
      <c r="L21" s="86">
        <f>SUMIFS('0330 4度C'!$AD:$AD,'0330 4度C'!$A:$A,"新豐9線",'0330 4度C'!$B:$B,"平均")</f>
        <v>0</v>
      </c>
      <c r="M21" s="87">
        <f>SUMIFS('0330 4度C'!$AD:$AD,'0330 4度C'!$A:$A,"新豐4線",'0330 4度C'!$B:$B,"平均")</f>
        <v>0</v>
      </c>
    </row>
    <row r="22" spans="2:13" ht="17.25" customHeight="1">
      <c r="B22" s="103" t="s">
        <v>2639</v>
      </c>
      <c r="C22" s="104"/>
      <c r="D22" s="89">
        <f>SUMIFS('0330 4度C'!$I:$I,'0330 4度C'!$A:$A,"新豐6線",'0330 4度C'!$B:$B,"平均")</f>
        <v>18</v>
      </c>
      <c r="E22" s="90">
        <f>SUMIFS('0330 4度C'!$I:$I,'0330 4度C'!$A:$A,"新豐2線",'0330 4度C'!$B:$B,"平均")</f>
        <v>17.666666666666668</v>
      </c>
      <c r="F22" s="90">
        <f>SUMIFS('0330 4度C'!$I:$I,'0330 4度C'!$A:$A,"新豐5線",'0330 4度C'!$B:$B,"平均")</f>
        <v>18.25</v>
      </c>
      <c r="G22" s="90">
        <f>SUMIFS('0330 4度C'!$I:$I,'0330 4度C'!$A:$A,"新豐7線",'0330 4度C'!$B:$B,"平均")</f>
        <v>15</v>
      </c>
      <c r="H22" s="90">
        <f>SUMIFS('0330 4度C'!$I:$I,'0330 4度C'!$A:$A,"新豐3線",'0330 4度C'!$B:$B,"平均")</f>
        <v>9</v>
      </c>
      <c r="I22" s="90">
        <f>SUMIFS('0330 4度C'!$I:$I,'0330 4度C'!$A:$A,"新豐1線",'0330 4度C'!$B:$B,"平均")</f>
        <v>18.625</v>
      </c>
      <c r="J22" s="91">
        <f>SUMIFS('0330 4度C'!$I:$I,'0330 4度C'!$A:$A,"新豐10線",'0330 4度C'!$B:$B,"平均")</f>
        <v>10.4</v>
      </c>
      <c r="K22" s="89">
        <f>SUMIFS('0330 4度C'!$I:$I,'0330 4度C'!$A:$A,"新豐8線",'0330 4度C'!$B:$B,"平均")</f>
        <v>18.333333333333332</v>
      </c>
      <c r="L22" s="90">
        <f>SUMIFS('0330 4度C'!$I:$I,'0330 4度C'!$A:$A,"新豐9線",'0330 4度C'!$B:$B,"平均")</f>
        <v>17.857142857142858</v>
      </c>
      <c r="M22" s="91">
        <f>SUMIFS('0330 4度C'!$I:$I,'0330 4度C'!$A:$A,"新豐4線",'0330 4度C'!$B:$B,"平均")</f>
        <v>15.166666666666666</v>
      </c>
    </row>
    <row r="23" spans="2:13" ht="17.25" customHeight="1">
      <c r="B23" s="103" t="s">
        <v>336</v>
      </c>
      <c r="C23" s="104"/>
      <c r="D23" s="92" t="s">
        <v>185</v>
      </c>
      <c r="E23" s="93" t="s">
        <v>186</v>
      </c>
      <c r="F23" s="93" t="s">
        <v>2640</v>
      </c>
      <c r="G23" s="93" t="s">
        <v>2640</v>
      </c>
      <c r="H23" s="93" t="s">
        <v>188</v>
      </c>
      <c r="I23" s="93" t="s">
        <v>185</v>
      </c>
      <c r="J23" s="94" t="s">
        <v>188</v>
      </c>
      <c r="K23" s="92" t="s">
        <v>444</v>
      </c>
      <c r="L23" s="93" t="s">
        <v>2641</v>
      </c>
      <c r="M23" s="94" t="s">
        <v>444</v>
      </c>
    </row>
    <row r="24" spans="2:13" ht="17.25" customHeight="1">
      <c r="B24" s="103" t="s">
        <v>2642</v>
      </c>
      <c r="C24" s="104"/>
      <c r="D24" s="92"/>
      <c r="E24" s="93"/>
      <c r="F24" s="93" t="s">
        <v>2643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2644</v>
      </c>
      <c r="C25" s="106"/>
      <c r="D25" s="95"/>
      <c r="E25" s="96" t="s">
        <v>2645</v>
      </c>
      <c r="F25" s="99" t="s">
        <v>449</v>
      </c>
      <c r="G25" s="100"/>
      <c r="H25" s="96" t="s">
        <v>2646</v>
      </c>
      <c r="I25" s="96" t="s">
        <v>2647</v>
      </c>
      <c r="J25" s="97" t="s">
        <v>345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69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2648</v>
      </c>
      <c r="B1" s="1"/>
      <c r="C1" s="2" t="s">
        <v>2649</v>
      </c>
      <c r="D1" s="3">
        <f>SUM(F5:F68)</f>
        <v>168199</v>
      </c>
      <c r="E1" s="4" t="s">
        <v>2650</v>
      </c>
      <c r="F1" s="1">
        <f>SUM(G5:G68)</f>
        <v>5588964.2300000004</v>
      </c>
      <c r="G1" s="1" t="s">
        <v>2651</v>
      </c>
      <c r="H1" s="5">
        <f>L9+L13+L46+L55+L18+L61+L32+L40+L25+L68</f>
        <v>158.29880952380952</v>
      </c>
      <c r="I1" s="212" t="s">
        <v>4</v>
      </c>
      <c r="J1" s="212"/>
      <c r="K1" s="212"/>
      <c r="L1" s="212" t="s">
        <v>5</v>
      </c>
      <c r="M1" s="212"/>
      <c r="N1" s="212"/>
      <c r="O1" s="212" t="s">
        <v>2652</v>
      </c>
      <c r="P1" s="212"/>
      <c r="Q1" s="212"/>
      <c r="R1" s="212"/>
      <c r="S1" s="212" t="s">
        <v>2653</v>
      </c>
      <c r="T1" s="212"/>
      <c r="U1" s="212"/>
      <c r="V1" s="212"/>
      <c r="W1" s="212"/>
      <c r="X1" s="212"/>
      <c r="Y1" s="6" t="s">
        <v>2654</v>
      </c>
      <c r="Z1" s="7" t="s">
        <v>2655</v>
      </c>
      <c r="AA1" s="213" t="s">
        <v>462</v>
      </c>
      <c r="AB1" s="213"/>
      <c r="AC1" s="42" t="s">
        <v>8</v>
      </c>
      <c r="AD1" s="7" t="s">
        <v>2656</v>
      </c>
      <c r="AE1" s="212" t="s">
        <v>12</v>
      </c>
      <c r="AF1" s="214"/>
      <c r="AG1" s="214"/>
    </row>
    <row r="2" spans="1:33" ht="26.25" customHeight="1">
      <c r="A2" s="33">
        <v>46111</v>
      </c>
      <c r="B2" s="34" t="s">
        <v>258</v>
      </c>
      <c r="C2" s="2" t="s">
        <v>2632</v>
      </c>
      <c r="D2" s="9">
        <f>AVERAGE(N9,N13,N46,N55,N18,N61,N25,N32,N40,N68)</f>
        <v>149.21971271493675</v>
      </c>
      <c r="E2" s="10" t="s">
        <v>14</v>
      </c>
      <c r="F2" s="11">
        <f>F1/D1</f>
        <v>33.22828453201268</v>
      </c>
      <c r="G2" s="1" t="s">
        <v>2657</v>
      </c>
      <c r="H2" s="12">
        <f>COUNT(H5:H68)</f>
        <v>6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SUM(Y9+Y13+Y18+Y25+Y32+Y40+Y46+Y55+Y61+Y68)</f>
        <v>0</v>
      </c>
      <c r="Z2" s="13">
        <f>SUM(Z9+Z13+Z18+Z25+Z32+Z40+Z46+Z55+Z61+Z68)</f>
        <v>0</v>
      </c>
      <c r="AA2" s="213"/>
      <c r="AB2" s="213"/>
      <c r="AC2" s="13">
        <v>54</v>
      </c>
      <c r="AD2" s="13">
        <f>SUM(AD9+AD13+AD18+AD25+AD32+AD40+AD46+AD55+AD61+AD68)</f>
        <v>0</v>
      </c>
      <c r="AE2" s="214"/>
      <c r="AF2" s="214"/>
      <c r="AG2" s="214"/>
    </row>
    <row r="3" spans="1:33" ht="40.5" customHeight="1">
      <c r="A3" s="162" t="s">
        <v>2658</v>
      </c>
      <c r="B3" s="162" t="s">
        <v>469</v>
      </c>
      <c r="C3" s="162" t="s">
        <v>2659</v>
      </c>
      <c r="D3" s="162"/>
      <c r="E3" s="210" t="s">
        <v>2660</v>
      </c>
      <c r="F3" s="162" t="s">
        <v>2661</v>
      </c>
      <c r="G3" s="210" t="s">
        <v>2662</v>
      </c>
      <c r="H3" s="204" t="s">
        <v>2663</v>
      </c>
      <c r="I3" s="202" t="s">
        <v>2664</v>
      </c>
      <c r="J3" s="199" t="s">
        <v>2665</v>
      </c>
      <c r="K3" s="209" t="s">
        <v>2632</v>
      </c>
      <c r="L3" s="202" t="s">
        <v>2664</v>
      </c>
      <c r="M3" s="199" t="s">
        <v>2665</v>
      </c>
      <c r="N3" s="209" t="s">
        <v>2632</v>
      </c>
      <c r="O3" s="202" t="s">
        <v>2664</v>
      </c>
      <c r="P3" s="209" t="s">
        <v>2632</v>
      </c>
      <c r="Q3" s="200" t="s">
        <v>2666</v>
      </c>
      <c r="R3" s="178" t="s">
        <v>2667</v>
      </c>
      <c r="S3" s="162" t="s">
        <v>27</v>
      </c>
      <c r="T3" s="162"/>
      <c r="U3" s="204" t="s">
        <v>28</v>
      </c>
      <c r="V3" s="204" t="s">
        <v>2668</v>
      </c>
      <c r="W3" s="162" t="s">
        <v>30</v>
      </c>
      <c r="X3" s="162"/>
      <c r="Y3" s="205" t="s">
        <v>2669</v>
      </c>
      <c r="Z3" s="166"/>
      <c r="AA3" s="206" t="s">
        <v>2670</v>
      </c>
      <c r="AB3" s="207"/>
      <c r="AC3" s="205" t="s">
        <v>2671</v>
      </c>
      <c r="AD3" s="166"/>
      <c r="AE3" s="199" t="s">
        <v>2665</v>
      </c>
      <c r="AF3" s="200" t="s">
        <v>2666</v>
      </c>
      <c r="AG3" s="178" t="s">
        <v>36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380</v>
      </c>
      <c r="X4" s="4" t="s">
        <v>2672</v>
      </c>
      <c r="Y4" s="14" t="s">
        <v>2673</v>
      </c>
      <c r="Z4" s="14" t="s">
        <v>2674</v>
      </c>
      <c r="AA4" s="208"/>
      <c r="AB4" s="207"/>
      <c r="AC4" s="14" t="s">
        <v>2675</v>
      </c>
      <c r="AD4" s="14" t="s">
        <v>2676</v>
      </c>
      <c r="AE4" s="199"/>
      <c r="AF4" s="200"/>
      <c r="AG4" s="178"/>
    </row>
    <row r="5" spans="1:33">
      <c r="A5" s="201" t="s">
        <v>2677</v>
      </c>
      <c r="B5" s="35" t="s">
        <v>78</v>
      </c>
      <c r="C5" s="203" t="s">
        <v>79</v>
      </c>
      <c r="D5" s="203"/>
      <c r="E5" s="35">
        <v>50.67</v>
      </c>
      <c r="F5" s="4">
        <v>1548</v>
      </c>
      <c r="G5" s="4">
        <f t="shared" ref="G5:G8" si="0">E5*F5</f>
        <v>78437.16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8" si="2">F5/V5*60</f>
        <v>1935.0000000000005</v>
      </c>
      <c r="N5" s="16">
        <f t="shared" ref="N5:N68" si="3">M5/L5</f>
        <v>113.82352941176474</v>
      </c>
      <c r="O5" s="18">
        <f t="shared" ref="O5:O68" si="4">L5-I5</f>
        <v>0</v>
      </c>
      <c r="P5" s="19">
        <f t="shared" ref="P5:P68" si="5">N5-K5</f>
        <v>-3.8235294117646674</v>
      </c>
      <c r="Q5" s="20">
        <f t="shared" ref="Q5:Q68" si="6">N5/K5</f>
        <v>0.96750000000000036</v>
      </c>
      <c r="R5" s="170">
        <f>Q9</f>
        <v>0.96833522727272836</v>
      </c>
      <c r="S5" s="27">
        <v>0.70833333333333337</v>
      </c>
      <c r="T5" s="27">
        <v>0.7416666666666667</v>
      </c>
      <c r="U5" s="4"/>
      <c r="V5" s="21">
        <f t="shared" ref="V5:V8" si="7">(T5-S5)*24*60</f>
        <v>47.999999999999986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4" si="8">M5-J5</f>
        <v>-64.999999999999545</v>
      </c>
      <c r="AF5" s="20">
        <f t="shared" ref="AF5:AF68" si="9">M5/J5</f>
        <v>0.96750000000000025</v>
      </c>
      <c r="AG5" s="170">
        <f>AF9</f>
        <v>0.96833522727272836</v>
      </c>
    </row>
    <row r="6" spans="1:33">
      <c r="A6" s="202" t="s">
        <v>2677</v>
      </c>
      <c r="B6" s="35" t="s">
        <v>78</v>
      </c>
      <c r="C6" s="203" t="s">
        <v>80</v>
      </c>
      <c r="D6" s="203"/>
      <c r="E6" s="35">
        <v>54.09</v>
      </c>
      <c r="F6" s="4">
        <v>1273</v>
      </c>
      <c r="G6" s="4">
        <f t="shared" si="0"/>
        <v>68856.570000000007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1909.4999999999993</v>
      </c>
      <c r="N6" s="16">
        <f t="shared" si="3"/>
        <v>100.49999999999996</v>
      </c>
      <c r="O6" s="18">
        <f t="shared" si="4"/>
        <v>0</v>
      </c>
      <c r="P6" s="19">
        <f t="shared" si="5"/>
        <v>-4.763157894736878</v>
      </c>
      <c r="Q6" s="20">
        <f t="shared" si="6"/>
        <v>0.95474999999999965</v>
      </c>
      <c r="R6" s="170"/>
      <c r="S6" s="27">
        <v>0.74583333333333335</v>
      </c>
      <c r="T6" s="27">
        <v>0.77361111111111114</v>
      </c>
      <c r="U6" s="4">
        <f t="shared" ref="U6:U8" si="10">IF(S6=TIME(17,0,0),"",(S6-T5)*24*60)</f>
        <v>5.9999999999999787</v>
      </c>
      <c r="V6" s="21">
        <f t="shared" si="7"/>
        <v>40.000000000000014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-90.500000000000682</v>
      </c>
      <c r="AF6" s="20">
        <f t="shared" si="9"/>
        <v>0.95474999999999965</v>
      </c>
      <c r="AG6" s="170"/>
    </row>
    <row r="7" spans="1:33">
      <c r="A7" s="202" t="s">
        <v>2678</v>
      </c>
      <c r="B7" s="35" t="s">
        <v>78</v>
      </c>
      <c r="C7" s="197" t="s">
        <v>82</v>
      </c>
      <c r="D7" s="198"/>
      <c r="E7" s="35">
        <v>50.67</v>
      </c>
      <c r="F7" s="4">
        <v>330</v>
      </c>
      <c r="G7" s="4">
        <f t="shared" si="0"/>
        <v>16721.100000000002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1980.0000000000068</v>
      </c>
      <c r="N7" s="16">
        <f t="shared" si="3"/>
        <v>94.285714285714604</v>
      </c>
      <c r="O7" s="18">
        <f t="shared" si="4"/>
        <v>0</v>
      </c>
      <c r="P7" s="19">
        <f t="shared" si="5"/>
        <v>-0.95238095238063636</v>
      </c>
      <c r="Q7" s="20">
        <f t="shared" si="6"/>
        <v>0.99000000000000332</v>
      </c>
      <c r="R7" s="170"/>
      <c r="S7" s="27">
        <v>0.77708333333333335</v>
      </c>
      <c r="T7" s="27">
        <v>0.78402777777777777</v>
      </c>
      <c r="U7" s="4">
        <f t="shared" si="10"/>
        <v>4.9999999999999822</v>
      </c>
      <c r="V7" s="21">
        <f t="shared" si="7"/>
        <v>9.9999999999999645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-19.999999999993179</v>
      </c>
      <c r="AF7" s="20">
        <f t="shared" si="9"/>
        <v>0.99000000000000343</v>
      </c>
      <c r="AG7" s="170"/>
    </row>
    <row r="8" spans="1:33">
      <c r="A8" s="202" t="s">
        <v>2679</v>
      </c>
      <c r="B8" s="35" t="s">
        <v>78</v>
      </c>
      <c r="C8" s="197" t="s">
        <v>91</v>
      </c>
      <c r="D8" s="198"/>
      <c r="E8" s="35">
        <v>50.67</v>
      </c>
      <c r="F8" s="4">
        <v>1762</v>
      </c>
      <c r="G8" s="4">
        <f t="shared" si="0"/>
        <v>89280.540000000008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1922.1818181818196</v>
      </c>
      <c r="N8" s="16">
        <f t="shared" si="3"/>
        <v>128.14545454545464</v>
      </c>
      <c r="O8" s="18">
        <f t="shared" si="4"/>
        <v>0</v>
      </c>
      <c r="P8" s="19">
        <f t="shared" si="5"/>
        <v>-5.1878787878787023</v>
      </c>
      <c r="Q8" s="20">
        <f t="shared" si="6"/>
        <v>0.96109090909090977</v>
      </c>
      <c r="R8" s="170"/>
      <c r="S8" s="27">
        <v>0.7895833333333333</v>
      </c>
      <c r="T8" s="27">
        <v>0.82777777777777772</v>
      </c>
      <c r="U8" s="4">
        <f t="shared" si="10"/>
        <v>7.9999999999999716</v>
      </c>
      <c r="V8" s="21">
        <f t="shared" si="7"/>
        <v>54.999999999999964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-77.818181818180392</v>
      </c>
      <c r="AF8" s="20">
        <f t="shared" si="9"/>
        <v>0.96109090909090977</v>
      </c>
      <c r="AG8" s="170"/>
    </row>
    <row r="9" spans="1:33">
      <c r="A9" s="202" t="s">
        <v>2680</v>
      </c>
      <c r="B9" s="35" t="s">
        <v>2681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1936.6704545454568</v>
      </c>
      <c r="N9" s="16">
        <f t="shared" si="3"/>
        <v>107.59280303030316</v>
      </c>
      <c r="O9" s="18">
        <f t="shared" si="4"/>
        <v>0</v>
      </c>
      <c r="P9" s="19">
        <f t="shared" si="5"/>
        <v>-3.5183080808079552</v>
      </c>
      <c r="Q9" s="20">
        <f t="shared" si="6"/>
        <v>0.96833522727272836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-63.329545454543222</v>
      </c>
      <c r="AF9" s="20">
        <f t="shared" si="9"/>
        <v>0.96833522727272836</v>
      </c>
      <c r="AG9" s="170"/>
    </row>
    <row r="10" spans="1:33" ht="15.75" customHeight="1">
      <c r="A10" s="196" t="s">
        <v>2682</v>
      </c>
      <c r="B10" s="35" t="s">
        <v>84</v>
      </c>
      <c r="C10" s="197" t="s">
        <v>85</v>
      </c>
      <c r="D10" s="198"/>
      <c r="E10" s="35">
        <v>39.619999999999997</v>
      </c>
      <c r="F10" s="4">
        <v>4766</v>
      </c>
      <c r="G10" s="4">
        <f t="shared" ref="G10:G12" si="11">E10*F10</f>
        <v>188828.91999999998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1429.8000000000002</v>
      </c>
      <c r="N10" s="16">
        <f t="shared" si="3"/>
        <v>75.252631578947373</v>
      </c>
      <c r="O10" s="18">
        <f t="shared" si="4"/>
        <v>0</v>
      </c>
      <c r="P10" s="19">
        <f t="shared" si="5"/>
        <v>-3.6947368421052573</v>
      </c>
      <c r="Q10" s="20">
        <f t="shared" si="6"/>
        <v>0.95320000000000005</v>
      </c>
      <c r="R10" s="170">
        <f>Q13</f>
        <v>0.95388328095359454</v>
      </c>
      <c r="S10" s="27">
        <v>0.20833333333333334</v>
      </c>
      <c r="T10" s="27">
        <v>0.34722222222222221</v>
      </c>
      <c r="U10" s="4"/>
      <c r="V10" s="21">
        <f t="shared" ref="V10:V12" si="13">(T10-S10)*24*60</f>
        <v>199.99999999999997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-70.199999999999818</v>
      </c>
      <c r="AF10" s="20">
        <f t="shared" si="9"/>
        <v>0.95320000000000016</v>
      </c>
      <c r="AG10" s="170">
        <f>AF13</f>
        <v>0.95388328095359443</v>
      </c>
    </row>
    <row r="11" spans="1:33" ht="15.75" customHeight="1">
      <c r="A11" s="196" t="s">
        <v>2683</v>
      </c>
      <c r="B11" s="35" t="s">
        <v>84</v>
      </c>
      <c r="C11" s="197" t="s">
        <v>86</v>
      </c>
      <c r="D11" s="198"/>
      <c r="E11" s="35">
        <v>39.799999999999997</v>
      </c>
      <c r="F11" s="4">
        <v>4600</v>
      </c>
      <c r="G11" s="4">
        <f t="shared" si="11"/>
        <v>183080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1430.051813471503</v>
      </c>
      <c r="N11" s="16">
        <f t="shared" si="3"/>
        <v>84.120694910088417</v>
      </c>
      <c r="O11" s="18">
        <f t="shared" si="4"/>
        <v>0</v>
      </c>
      <c r="P11" s="19">
        <f t="shared" si="5"/>
        <v>-4.1145992075586406</v>
      </c>
      <c r="Q11" s="20">
        <f t="shared" si="6"/>
        <v>0.95336787564766878</v>
      </c>
      <c r="R11" s="170"/>
      <c r="S11" s="27">
        <v>0.35277777777777775</v>
      </c>
      <c r="T11" s="27">
        <v>0.48680555555555549</v>
      </c>
      <c r="U11" s="4">
        <f t="shared" ref="U11:U12" si="14">IF(S11=TIME(17,0,0),"",(S11-T10)*24*60)</f>
        <v>7.9999999999999716</v>
      </c>
      <c r="V11" s="21">
        <f t="shared" si="13"/>
        <v>192.99999999999994</v>
      </c>
      <c r="W11" s="22">
        <f>T11</f>
        <v>0.48680555555555549</v>
      </c>
      <c r="X11" s="22">
        <f>S12</f>
        <v>0.52708333333333324</v>
      </c>
      <c r="Y11" s="22"/>
      <c r="Z11" s="22"/>
      <c r="AA11" s="162"/>
      <c r="AB11" s="162"/>
      <c r="AC11" s="24"/>
      <c r="AD11" s="24"/>
      <c r="AE11" s="18">
        <f t="shared" si="8"/>
        <v>-69.94818652849699</v>
      </c>
      <c r="AF11" s="20">
        <f t="shared" si="9"/>
        <v>0.95336787564766867</v>
      </c>
      <c r="AG11" s="170"/>
    </row>
    <row r="12" spans="1:33" ht="15.75" customHeight="1">
      <c r="A12" s="196" t="s">
        <v>2684</v>
      </c>
      <c r="B12" s="35" t="s">
        <v>84</v>
      </c>
      <c r="C12" s="197" t="s">
        <v>86</v>
      </c>
      <c r="D12" s="198"/>
      <c r="E12" s="35">
        <v>39.799999999999997</v>
      </c>
      <c r="F12" s="4">
        <v>2913</v>
      </c>
      <c r="G12" s="4">
        <f t="shared" si="11"/>
        <v>115937.4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1432.6229508196716</v>
      </c>
      <c r="N12" s="16">
        <f t="shared" si="3"/>
        <v>84.271938283510096</v>
      </c>
      <c r="O12" s="18">
        <f t="shared" si="4"/>
        <v>0</v>
      </c>
      <c r="P12" s="19">
        <f t="shared" si="5"/>
        <v>-3.9633558341369621</v>
      </c>
      <c r="Q12" s="20">
        <f t="shared" si="6"/>
        <v>0.95508196721311445</v>
      </c>
      <c r="R12" s="170"/>
      <c r="S12" s="27">
        <v>0.52708333333333324</v>
      </c>
      <c r="T12" s="27">
        <v>0.61180555555555549</v>
      </c>
      <c r="U12" s="4">
        <f t="shared" si="14"/>
        <v>57.999999999999957</v>
      </c>
      <c r="V12" s="21">
        <f t="shared" si="13"/>
        <v>122.00000000000004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-67.377049180328413</v>
      </c>
      <c r="AF12" s="20">
        <f t="shared" si="9"/>
        <v>0.95508196721311445</v>
      </c>
      <c r="AG12" s="170"/>
    </row>
    <row r="13" spans="1:33" ht="16.5" customHeight="1">
      <c r="A13" s="196" t="s">
        <v>494</v>
      </c>
      <c r="B13" s="35" t="s">
        <v>48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1430.8249214303917</v>
      </c>
      <c r="N13" s="16">
        <f t="shared" si="3"/>
        <v>80.990089892286321</v>
      </c>
      <c r="O13" s="18">
        <f t="shared" si="4"/>
        <v>0</v>
      </c>
      <c r="P13" s="19">
        <f t="shared" si="5"/>
        <v>-3.9155704850721662</v>
      </c>
      <c r="Q13" s="20">
        <f t="shared" si="6"/>
        <v>0.95388328095359454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v>3</v>
      </c>
      <c r="AD13" s="30">
        <f>SUM(AD10:AD12)</f>
        <v>0</v>
      </c>
      <c r="AE13" s="18">
        <f t="shared" si="8"/>
        <v>-69.175078569608331</v>
      </c>
      <c r="AF13" s="20">
        <f t="shared" si="9"/>
        <v>0.95388328095359443</v>
      </c>
      <c r="AG13" s="170"/>
    </row>
    <row r="14" spans="1:33" ht="16.5" customHeight="1">
      <c r="A14" s="194" t="s">
        <v>2685</v>
      </c>
      <c r="B14" s="4" t="s">
        <v>87</v>
      </c>
      <c r="C14" s="190" t="s">
        <v>88</v>
      </c>
      <c r="D14" s="190"/>
      <c r="E14" s="35">
        <v>41</v>
      </c>
      <c r="F14" s="4">
        <v>2590</v>
      </c>
      <c r="G14" s="4">
        <f t="shared" ref="G14:G17" si="15">E14*F14</f>
        <v>106190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1425.6880733944959</v>
      </c>
      <c r="N14" s="16">
        <f t="shared" si="3"/>
        <v>54.834156669019073</v>
      </c>
      <c r="O14" s="18">
        <f t="shared" si="4"/>
        <v>0</v>
      </c>
      <c r="P14" s="19">
        <f t="shared" si="5"/>
        <v>-2.8581510232886203</v>
      </c>
      <c r="Q14" s="20">
        <f t="shared" si="6"/>
        <v>0.95045871559633055</v>
      </c>
      <c r="R14" s="170">
        <f>Q18</f>
        <v>0.95875787373661692</v>
      </c>
      <c r="S14" s="27">
        <v>0.20833333333333334</v>
      </c>
      <c r="T14" s="27">
        <v>0.28402777777777777</v>
      </c>
      <c r="U14" s="4"/>
      <c r="V14" s="21">
        <f t="shared" ref="V14:V17" si="17">(T14-S14)*24*60</f>
        <v>108.99999999999997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-74.311926605504141</v>
      </c>
      <c r="AF14" s="20">
        <f t="shared" si="9"/>
        <v>0.95045871559633055</v>
      </c>
      <c r="AG14" s="170">
        <f>AF18</f>
        <v>0.95875787373661681</v>
      </c>
    </row>
    <row r="15" spans="1:33" ht="16.5" customHeight="1">
      <c r="A15" s="195" t="s">
        <v>50</v>
      </c>
      <c r="B15" s="4" t="s">
        <v>78</v>
      </c>
      <c r="C15" s="190" t="s">
        <v>89</v>
      </c>
      <c r="D15" s="190"/>
      <c r="E15" s="35">
        <v>50.98</v>
      </c>
      <c r="F15" s="4">
        <v>2608</v>
      </c>
      <c r="G15" s="4">
        <f t="shared" si="15"/>
        <v>132955.84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1908.2926829268285</v>
      </c>
      <c r="N15" s="16">
        <f t="shared" si="3"/>
        <v>119.26829268292678</v>
      </c>
      <c r="O15" s="18">
        <f t="shared" si="4"/>
        <v>0</v>
      </c>
      <c r="P15" s="19">
        <f t="shared" si="5"/>
        <v>-5.7317073170732158</v>
      </c>
      <c r="Q15" s="20">
        <f t="shared" si="6"/>
        <v>0.95414634146341426</v>
      </c>
      <c r="R15" s="170"/>
      <c r="S15" s="27">
        <v>0.70833333333333337</v>
      </c>
      <c r="T15" s="27">
        <v>0.76527777777777783</v>
      </c>
      <c r="U15" s="4" t="str">
        <f t="shared" ref="U15:U17" si="18">IF(S15=TIME(17,0,0),"",(S15-T14)*24*60)</f>
        <v/>
      </c>
      <c r="V15" s="21">
        <f t="shared" si="17"/>
        <v>82.000000000000028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-91.707317073171453</v>
      </c>
      <c r="AF15" s="20">
        <f t="shared" si="9"/>
        <v>0.95414634146341426</v>
      </c>
      <c r="AG15" s="170"/>
    </row>
    <row r="16" spans="1:33" ht="16.5" customHeight="1">
      <c r="A16" s="195" t="s">
        <v>2685</v>
      </c>
      <c r="B16" s="4" t="s">
        <v>78</v>
      </c>
      <c r="C16" s="190" t="s">
        <v>83</v>
      </c>
      <c r="D16" s="190"/>
      <c r="E16" s="35">
        <v>50.67</v>
      </c>
      <c r="F16" s="4">
        <v>680</v>
      </c>
      <c r="G16" s="4">
        <f t="shared" si="15"/>
        <v>34455.599999999999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1942.8571428571495</v>
      </c>
      <c r="N16" s="16">
        <f t="shared" si="3"/>
        <v>121.42857142857184</v>
      </c>
      <c r="O16" s="18">
        <f t="shared" si="4"/>
        <v>0</v>
      </c>
      <c r="P16" s="19">
        <f t="shared" si="5"/>
        <v>-3.5714285714281573</v>
      </c>
      <c r="Q16" s="20">
        <f t="shared" si="6"/>
        <v>0.97142857142857475</v>
      </c>
      <c r="R16" s="170"/>
      <c r="S16" s="27">
        <v>0.77013888888888893</v>
      </c>
      <c r="T16" s="27">
        <v>0.78472222222222221</v>
      </c>
      <c r="U16" s="4">
        <f t="shared" si="18"/>
        <v>6.9999999999999751</v>
      </c>
      <c r="V16" s="21">
        <f t="shared" si="17"/>
        <v>20.999999999999925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-57.142857142850517</v>
      </c>
      <c r="AF16" s="20">
        <f t="shared" si="9"/>
        <v>0.97142857142857475</v>
      </c>
      <c r="AG16" s="170"/>
    </row>
    <row r="17" spans="1:33" ht="16.5" customHeight="1">
      <c r="A17" s="195" t="s">
        <v>2685</v>
      </c>
      <c r="B17" s="4" t="s">
        <v>78</v>
      </c>
      <c r="C17" s="190" t="s">
        <v>90</v>
      </c>
      <c r="D17" s="190"/>
      <c r="E17" s="35">
        <v>50.92</v>
      </c>
      <c r="F17" s="4">
        <v>2488</v>
      </c>
      <c r="G17" s="4">
        <f t="shared" si="15"/>
        <v>126688.96000000001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1913.8461538461529</v>
      </c>
      <c r="N17" s="16">
        <f t="shared" si="3"/>
        <v>127.58974358974352</v>
      </c>
      <c r="O17" s="18">
        <f t="shared" si="4"/>
        <v>0</v>
      </c>
      <c r="P17" s="19">
        <f t="shared" si="5"/>
        <v>-5.7435897435898227</v>
      </c>
      <c r="Q17" s="20">
        <f t="shared" si="6"/>
        <v>0.95692307692307632</v>
      </c>
      <c r="R17" s="170"/>
      <c r="S17" s="27">
        <v>0.7895833333333333</v>
      </c>
      <c r="T17" s="27">
        <v>0.84375</v>
      </c>
      <c r="U17" s="4">
        <f t="shared" si="18"/>
        <v>6.9999999999999751</v>
      </c>
      <c r="V17" s="21">
        <f t="shared" si="17"/>
        <v>78.000000000000043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-86.153846153847098</v>
      </c>
      <c r="AF17" s="20">
        <f t="shared" si="9"/>
        <v>0.95692307692307643</v>
      </c>
      <c r="AG17" s="170"/>
    </row>
    <row r="18" spans="1:33" ht="16.5" customHeight="1">
      <c r="A18" s="195" t="s">
        <v>2685</v>
      </c>
      <c r="B18" s="35" t="s">
        <v>2686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1797.6710132561566</v>
      </c>
      <c r="N18" s="16">
        <f t="shared" si="3"/>
        <v>98.502521274309956</v>
      </c>
      <c r="O18" s="18">
        <f t="shared" si="4"/>
        <v>0</v>
      </c>
      <c r="P18" s="19">
        <f t="shared" si="5"/>
        <v>-4.2372047530872976</v>
      </c>
      <c r="Q18" s="20">
        <f t="shared" si="6"/>
        <v>0.95875787373661692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-77.328986743843416</v>
      </c>
      <c r="AF18" s="20">
        <f t="shared" si="9"/>
        <v>0.95875787373661681</v>
      </c>
      <c r="AG18" s="170"/>
    </row>
    <row r="19" spans="1:33" ht="15.75" customHeight="1">
      <c r="A19" s="192" t="s">
        <v>52</v>
      </c>
      <c r="B19" s="35" t="s">
        <v>78</v>
      </c>
      <c r="C19" s="190" t="s">
        <v>92</v>
      </c>
      <c r="D19" s="190"/>
      <c r="E19" s="35">
        <v>57.73</v>
      </c>
      <c r="F19" s="4">
        <v>2806</v>
      </c>
      <c r="G19" s="4">
        <f t="shared" ref="G19:G24" si="19">E19*F19</f>
        <v>161990.38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4" si="20">F19/V19*60</f>
        <v>1913.1818181818189</v>
      </c>
      <c r="N19" s="16">
        <f t="shared" si="3"/>
        <v>136.65584415584422</v>
      </c>
      <c r="O19" s="18">
        <f t="shared" si="4"/>
        <v>0</v>
      </c>
      <c r="P19" s="19">
        <f t="shared" si="5"/>
        <v>-6.20129870129864</v>
      </c>
      <c r="Q19" s="20">
        <f t="shared" si="6"/>
        <v>0.95659090909090949</v>
      </c>
      <c r="R19" s="170">
        <f>Q25</f>
        <v>0.95943317554414542</v>
      </c>
      <c r="S19" s="27">
        <v>0.20833333333333334</v>
      </c>
      <c r="T19" s="27">
        <v>0.26944444444444443</v>
      </c>
      <c r="U19" s="4"/>
      <c r="V19" s="21">
        <f t="shared" ref="V19:V24" si="21">(T19-S19)*24*60</f>
        <v>87.999999999999972</v>
      </c>
      <c r="W19" s="27"/>
      <c r="X19" s="27"/>
      <c r="Y19" s="27"/>
      <c r="Z19" s="27"/>
      <c r="AA19" s="162"/>
      <c r="AB19" s="162"/>
      <c r="AC19" s="24">
        <v>6</v>
      </c>
      <c r="AD19" s="24"/>
      <c r="AE19" s="18">
        <f t="shared" si="8"/>
        <v>-86.818181818181074</v>
      </c>
      <c r="AF19" s="20">
        <f t="shared" si="9"/>
        <v>0.95659090909090949</v>
      </c>
      <c r="AG19" s="170">
        <f>AF25</f>
        <v>0.95943317554414542</v>
      </c>
    </row>
    <row r="20" spans="1:33" ht="15.75" customHeight="1">
      <c r="A20" s="193" t="s">
        <v>2687</v>
      </c>
      <c r="B20" s="35" t="s">
        <v>78</v>
      </c>
      <c r="C20" s="190" t="s">
        <v>93</v>
      </c>
      <c r="D20" s="190"/>
      <c r="E20" s="35">
        <v>53.68</v>
      </c>
      <c r="F20" s="4">
        <v>1601</v>
      </c>
      <c r="G20" s="4">
        <f t="shared" si="19"/>
        <v>85941.68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1921.2000000000007</v>
      </c>
      <c r="N20" s="16">
        <f t="shared" si="3"/>
        <v>120.07500000000005</v>
      </c>
      <c r="O20" s="18">
        <f t="shared" si="4"/>
        <v>0</v>
      </c>
      <c r="P20" s="19">
        <f t="shared" si="5"/>
        <v>-4.9249999999999545</v>
      </c>
      <c r="Q20" s="20">
        <f t="shared" si="6"/>
        <v>0.96060000000000034</v>
      </c>
      <c r="R20" s="170"/>
      <c r="S20" s="27">
        <v>0.27499999999999997</v>
      </c>
      <c r="T20" s="27">
        <v>0.30972222222222218</v>
      </c>
      <c r="U20" s="4">
        <f t="shared" ref="U20:U24" si="22">IF(S20=TIME(17,0,0),"",(S20-T19)*24*60)</f>
        <v>7.9999999999999716</v>
      </c>
      <c r="V20" s="21">
        <f t="shared" si="21"/>
        <v>49.999999999999986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-78.799999999999272</v>
      </c>
      <c r="AF20" s="20">
        <f t="shared" si="9"/>
        <v>0.96060000000000034</v>
      </c>
      <c r="AG20" s="170"/>
    </row>
    <row r="21" spans="1:33" ht="15.75" customHeight="1">
      <c r="A21" s="193" t="s">
        <v>2687</v>
      </c>
      <c r="B21" s="35" t="s">
        <v>78</v>
      </c>
      <c r="C21" s="190" t="s">
        <v>2127</v>
      </c>
      <c r="D21" s="190"/>
      <c r="E21" s="35">
        <v>50.67</v>
      </c>
      <c r="F21" s="4">
        <v>3227</v>
      </c>
      <c r="G21" s="4">
        <f t="shared" si="19"/>
        <v>163512.09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1917.0297029702963</v>
      </c>
      <c r="N21" s="16">
        <f t="shared" si="3"/>
        <v>119.81435643564352</v>
      </c>
      <c r="O21" s="18">
        <f t="shared" si="4"/>
        <v>0</v>
      </c>
      <c r="P21" s="19">
        <f t="shared" si="5"/>
        <v>-5.1856435643564822</v>
      </c>
      <c r="Q21" s="20">
        <f t="shared" si="6"/>
        <v>0.95851485148514814</v>
      </c>
      <c r="R21" s="170"/>
      <c r="S21" s="27">
        <v>0.31527777777777771</v>
      </c>
      <c r="T21" s="27">
        <v>0.38541666666666663</v>
      </c>
      <c r="U21" s="4">
        <f t="shared" si="22"/>
        <v>7.9999999999999716</v>
      </c>
      <c r="V21" s="21">
        <f t="shared" si="21"/>
        <v>101.00000000000004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-82.970297029703715</v>
      </c>
      <c r="AF21" s="20">
        <f t="shared" si="9"/>
        <v>0.95851485148514814</v>
      </c>
      <c r="AG21" s="170"/>
    </row>
    <row r="22" spans="1:33" ht="15.75" customHeight="1">
      <c r="A22" s="193" t="s">
        <v>52</v>
      </c>
      <c r="B22" s="35" t="s">
        <v>78</v>
      </c>
      <c r="C22" s="190" t="s">
        <v>96</v>
      </c>
      <c r="D22" s="190"/>
      <c r="E22" s="35">
        <v>57.3</v>
      </c>
      <c r="F22" s="4">
        <v>1765</v>
      </c>
      <c r="G22" s="4">
        <f t="shared" si="19"/>
        <v>101134.5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1925.4545454545469</v>
      </c>
      <c r="N22" s="16">
        <f t="shared" si="3"/>
        <v>148.11188811188822</v>
      </c>
      <c r="O22" s="18">
        <f t="shared" si="4"/>
        <v>0</v>
      </c>
      <c r="P22" s="19">
        <f t="shared" si="5"/>
        <v>-5.7342657342656196</v>
      </c>
      <c r="Q22" s="20">
        <f t="shared" si="6"/>
        <v>0.96272727272727343</v>
      </c>
      <c r="R22" s="170"/>
      <c r="S22" s="27">
        <v>0.70833333333333337</v>
      </c>
      <c r="T22" s="27">
        <v>0.74652777777777779</v>
      </c>
      <c r="U22" s="4" t="str">
        <f t="shared" si="22"/>
        <v/>
      </c>
      <c r="V22" s="21">
        <f t="shared" si="21"/>
        <v>54.999999999999964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-74.54545454545314</v>
      </c>
      <c r="AF22" s="20">
        <f t="shared" si="9"/>
        <v>0.96272727272727343</v>
      </c>
      <c r="AG22" s="170"/>
    </row>
    <row r="23" spans="1:33" ht="15.75" customHeight="1">
      <c r="A23" s="193" t="s">
        <v>2687</v>
      </c>
      <c r="B23" s="35" t="s">
        <v>78</v>
      </c>
      <c r="C23" s="190" t="s">
        <v>95</v>
      </c>
      <c r="D23" s="190"/>
      <c r="E23" s="35">
        <v>53.68</v>
      </c>
      <c r="F23" s="4">
        <v>1619</v>
      </c>
      <c r="G23" s="4">
        <f t="shared" si="19"/>
        <v>86907.92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1449.850746268655</v>
      </c>
      <c r="N23" s="16">
        <f t="shared" si="3"/>
        <v>90.615671641790939</v>
      </c>
      <c r="O23" s="18">
        <f t="shared" si="4"/>
        <v>0</v>
      </c>
      <c r="P23" s="19">
        <f t="shared" si="5"/>
        <v>-3.1343283582090606</v>
      </c>
      <c r="Q23" s="20">
        <f t="shared" si="6"/>
        <v>0.96656716417910338</v>
      </c>
      <c r="R23" s="170"/>
      <c r="S23" s="27">
        <v>0.75208333333333333</v>
      </c>
      <c r="T23" s="27">
        <v>0.79861111111111116</v>
      </c>
      <c r="U23" s="4">
        <f t="shared" si="22"/>
        <v>7.9999999999999716</v>
      </c>
      <c r="V23" s="21">
        <f t="shared" si="21"/>
        <v>67.000000000000085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-50.14925373134497</v>
      </c>
      <c r="AF23" s="20">
        <f t="shared" si="9"/>
        <v>0.96656716417910338</v>
      </c>
      <c r="AG23" s="170"/>
    </row>
    <row r="24" spans="1:33" ht="15.75" customHeight="1">
      <c r="A24" s="193" t="s">
        <v>52</v>
      </c>
      <c r="B24" s="35" t="s">
        <v>78</v>
      </c>
      <c r="C24" s="190" t="s">
        <v>94</v>
      </c>
      <c r="D24" s="190"/>
      <c r="E24" s="35">
        <v>50.49</v>
      </c>
      <c r="F24" s="4">
        <v>2161</v>
      </c>
      <c r="G24" s="4">
        <f t="shared" si="19"/>
        <v>109108.89</v>
      </c>
      <c r="H24" s="21" t="s">
        <v>133</v>
      </c>
      <c r="I24" s="15">
        <v>15</v>
      </c>
      <c r="J24" s="17">
        <v>2000</v>
      </c>
      <c r="K24" s="16">
        <f t="shared" si="1"/>
        <v>133.33333333333334</v>
      </c>
      <c r="L24" s="15">
        <v>15</v>
      </c>
      <c r="M24" s="17">
        <f t="shared" si="20"/>
        <v>1906.7647058823554</v>
      </c>
      <c r="N24" s="16">
        <f t="shared" si="3"/>
        <v>127.11764705882369</v>
      </c>
      <c r="O24" s="18">
        <f t="shared" si="4"/>
        <v>0</v>
      </c>
      <c r="P24" s="19">
        <f t="shared" si="5"/>
        <v>-6.2156862745096504</v>
      </c>
      <c r="Q24" s="20">
        <f t="shared" si="6"/>
        <v>0.95338235294117768</v>
      </c>
      <c r="R24" s="170"/>
      <c r="S24" s="27">
        <v>0.80347222222222225</v>
      </c>
      <c r="T24" s="27">
        <v>0.85069444444444442</v>
      </c>
      <c r="U24" s="4">
        <f t="shared" si="22"/>
        <v>6.9999999999999751</v>
      </c>
      <c r="V24" s="21">
        <f t="shared" si="21"/>
        <v>67.999999999999915</v>
      </c>
      <c r="W24" s="22"/>
      <c r="X24" s="27"/>
      <c r="Y24" s="27"/>
      <c r="Z24" s="27"/>
      <c r="AA24" s="162"/>
      <c r="AB24" s="162"/>
      <c r="AC24" s="24"/>
      <c r="AD24" s="24"/>
      <c r="AE24" s="18">
        <f t="shared" si="8"/>
        <v>-93.235294117644571</v>
      </c>
      <c r="AF24" s="20">
        <f t="shared" si="9"/>
        <v>0.95338235294117768</v>
      </c>
      <c r="AG24" s="170"/>
    </row>
    <row r="25" spans="1:33" ht="15.75" customHeight="1">
      <c r="A25" s="193" t="s">
        <v>52</v>
      </c>
      <c r="B25" s="35" t="s">
        <v>48</v>
      </c>
      <c r="C25" s="171"/>
      <c r="D25" s="171"/>
      <c r="E25" s="36"/>
      <c r="F25" s="4"/>
      <c r="G25" s="4"/>
      <c r="H25" s="4"/>
      <c r="I25" s="29">
        <v>15</v>
      </c>
      <c r="J25" s="17">
        <v>1916.6666666666667</v>
      </c>
      <c r="K25" s="16">
        <f t="shared" si="1"/>
        <v>127.77777777777779</v>
      </c>
      <c r="L25" s="29">
        <v>15</v>
      </c>
      <c r="M25" s="17">
        <f>AVERAGE(M19:M24)</f>
        <v>1838.9135864596121</v>
      </c>
      <c r="N25" s="16">
        <f t="shared" si="3"/>
        <v>122.59423909730748</v>
      </c>
      <c r="O25" s="18">
        <f t="shared" si="4"/>
        <v>0</v>
      </c>
      <c r="P25" s="19">
        <f t="shared" si="5"/>
        <v>-5.1835386804703063</v>
      </c>
      <c r="Q25" s="20">
        <f t="shared" si="6"/>
        <v>0.95943317554414542</v>
      </c>
      <c r="R25" s="170"/>
      <c r="S25" s="27"/>
      <c r="T25" s="27"/>
      <c r="U25" s="16"/>
      <c r="V25" s="21"/>
      <c r="W25" s="16"/>
      <c r="X25" s="16"/>
      <c r="Y25" s="30">
        <f>SUM(Y19:Y24)</f>
        <v>0</v>
      </c>
      <c r="Z25" s="30">
        <f>SUM(Z19:Z24)</f>
        <v>0</v>
      </c>
      <c r="AA25" s="166"/>
      <c r="AB25" s="166"/>
      <c r="AC25" s="30">
        <v>6</v>
      </c>
      <c r="AD25" s="30">
        <f>SUM(AD19:AD24)</f>
        <v>0</v>
      </c>
      <c r="AE25" s="18">
        <f t="shared" si="8"/>
        <v>-77.753080207054609</v>
      </c>
      <c r="AF25" s="20">
        <f t="shared" si="9"/>
        <v>0.95943317554414542</v>
      </c>
      <c r="AG25" s="170"/>
    </row>
    <row r="26" spans="1:33" ht="15.75" customHeight="1">
      <c r="A26" s="191" t="s">
        <v>54</v>
      </c>
      <c r="B26" s="35" t="s">
        <v>97</v>
      </c>
      <c r="C26" s="190" t="s">
        <v>98</v>
      </c>
      <c r="D26" s="190"/>
      <c r="E26" s="35">
        <v>31.29</v>
      </c>
      <c r="F26" s="4">
        <v>6600</v>
      </c>
      <c r="G26" s="4">
        <f t="shared" ref="G26:G31" si="23">E26*F26</f>
        <v>206514</v>
      </c>
      <c r="H26" s="21">
        <v>2</v>
      </c>
      <c r="I26" s="15">
        <v>18</v>
      </c>
      <c r="J26" s="17">
        <v>2400</v>
      </c>
      <c r="K26" s="16">
        <f t="shared" si="1"/>
        <v>133.33333333333334</v>
      </c>
      <c r="L26" s="15">
        <v>18</v>
      </c>
      <c r="M26" s="17">
        <f t="shared" ref="M26:M31" si="24">F26/V26*60</f>
        <v>2289.0173410404623</v>
      </c>
      <c r="N26" s="16">
        <f t="shared" si="3"/>
        <v>127.16763005780346</v>
      </c>
      <c r="O26" s="18">
        <f t="shared" si="4"/>
        <v>0</v>
      </c>
      <c r="P26" s="19">
        <f t="shared" si="5"/>
        <v>-6.1657032755298786</v>
      </c>
      <c r="Q26" s="20">
        <f t="shared" si="6"/>
        <v>0.95375722543352592</v>
      </c>
      <c r="R26" s="170">
        <f>Q32</f>
        <v>0.95503501072139729</v>
      </c>
      <c r="S26" s="27">
        <v>8.3333333333333329E-2</v>
      </c>
      <c r="T26" s="27">
        <v>0.20347222222222222</v>
      </c>
      <c r="U26" s="4"/>
      <c r="V26" s="21">
        <f t="shared" ref="V26:V31" si="25">(T26-S26)*24*60</f>
        <v>173</v>
      </c>
      <c r="W26" s="22">
        <f>T26</f>
        <v>0.20347222222222222</v>
      </c>
      <c r="X26" s="22">
        <f>S27</f>
        <v>0.22430555555555556</v>
      </c>
      <c r="Y26" s="22"/>
      <c r="Z26" s="22"/>
      <c r="AA26" s="162"/>
      <c r="AB26" s="162"/>
      <c r="AC26" s="24">
        <v>6</v>
      </c>
      <c r="AD26" s="24"/>
      <c r="AE26" s="18">
        <f t="shared" si="8"/>
        <v>-110.98265895953773</v>
      </c>
      <c r="AF26" s="20">
        <f t="shared" si="9"/>
        <v>0.95375722543352592</v>
      </c>
      <c r="AG26" s="170">
        <f>AF32</f>
        <v>0.95503501072139729</v>
      </c>
    </row>
    <row r="27" spans="1:33" ht="15.75" customHeight="1">
      <c r="A27" s="191" t="s">
        <v>2688</v>
      </c>
      <c r="B27" s="35" t="s">
        <v>97</v>
      </c>
      <c r="C27" s="190" t="s">
        <v>99</v>
      </c>
      <c r="D27" s="190"/>
      <c r="E27" s="35">
        <v>25.98</v>
      </c>
      <c r="F27" s="4">
        <v>3280</v>
      </c>
      <c r="G27" s="4">
        <f t="shared" si="23"/>
        <v>85214.399999999994</v>
      </c>
      <c r="H27" s="21" t="s">
        <v>133</v>
      </c>
      <c r="I27" s="15">
        <v>21</v>
      </c>
      <c r="J27" s="17">
        <v>2400</v>
      </c>
      <c r="K27" s="16">
        <f t="shared" si="1"/>
        <v>114.28571428571429</v>
      </c>
      <c r="L27" s="15">
        <v>21</v>
      </c>
      <c r="M27" s="17">
        <f t="shared" si="24"/>
        <v>2288.3720930232566</v>
      </c>
      <c r="N27" s="16">
        <f t="shared" si="3"/>
        <v>108.97009966777412</v>
      </c>
      <c r="O27" s="18">
        <f t="shared" si="4"/>
        <v>0</v>
      </c>
      <c r="P27" s="19">
        <f t="shared" si="5"/>
        <v>-5.3156146179401702</v>
      </c>
      <c r="Q27" s="20">
        <f t="shared" si="6"/>
        <v>0.95348837209302351</v>
      </c>
      <c r="R27" s="170"/>
      <c r="S27" s="27">
        <v>0.22430555555555556</v>
      </c>
      <c r="T27" s="27">
        <v>0.28402777777777777</v>
      </c>
      <c r="U27" s="4">
        <f t="shared" ref="U27:U31" si="26">(S27-T26)*24*60</f>
        <v>30.000000000000014</v>
      </c>
      <c r="V27" s="21">
        <f t="shared" si="25"/>
        <v>85.999999999999972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-111.62790697674336</v>
      </c>
      <c r="AF27" s="20">
        <f t="shared" si="9"/>
        <v>0.95348837209302362</v>
      </c>
      <c r="AG27" s="170"/>
    </row>
    <row r="28" spans="1:33" ht="15.75" customHeight="1">
      <c r="A28" s="191" t="s">
        <v>54</v>
      </c>
      <c r="B28" s="35" t="s">
        <v>97</v>
      </c>
      <c r="C28" s="190" t="s">
        <v>100</v>
      </c>
      <c r="D28" s="190"/>
      <c r="E28" s="35">
        <v>26.2</v>
      </c>
      <c r="F28" s="4">
        <v>5676</v>
      </c>
      <c r="G28" s="4">
        <f t="shared" si="23"/>
        <v>148711.19999999998</v>
      </c>
      <c r="H28" s="21" t="s">
        <v>133</v>
      </c>
      <c r="I28" s="15">
        <v>20</v>
      </c>
      <c r="J28" s="17">
        <v>2400</v>
      </c>
      <c r="K28" s="16">
        <f t="shared" si="1"/>
        <v>120</v>
      </c>
      <c r="L28" s="15">
        <v>20</v>
      </c>
      <c r="M28" s="17">
        <f t="shared" si="24"/>
        <v>2285.6375838926174</v>
      </c>
      <c r="N28" s="16">
        <f t="shared" si="3"/>
        <v>114.28187919463087</v>
      </c>
      <c r="O28" s="18">
        <f t="shared" si="4"/>
        <v>0</v>
      </c>
      <c r="P28" s="19">
        <f t="shared" si="5"/>
        <v>-5.718120805369125</v>
      </c>
      <c r="Q28" s="20">
        <f t="shared" si="6"/>
        <v>0.95234899328859057</v>
      </c>
      <c r="R28" s="170"/>
      <c r="S28" s="27">
        <v>0.28749999999999998</v>
      </c>
      <c r="T28" s="27">
        <v>0.39097222222222222</v>
      </c>
      <c r="U28" s="4">
        <f t="shared" si="26"/>
        <v>4.9999999999999822</v>
      </c>
      <c r="V28" s="21">
        <f t="shared" si="25"/>
        <v>149.00000000000003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-114.36241610738261</v>
      </c>
      <c r="AF28" s="20">
        <f t="shared" si="9"/>
        <v>0.95234899328859057</v>
      </c>
      <c r="AG28" s="170"/>
    </row>
    <row r="29" spans="1:33" ht="15.75" customHeight="1">
      <c r="A29" s="191" t="s">
        <v>54</v>
      </c>
      <c r="B29" s="35" t="s">
        <v>97</v>
      </c>
      <c r="C29" s="190" t="s">
        <v>101</v>
      </c>
      <c r="D29" s="190"/>
      <c r="E29" s="35">
        <v>25.99</v>
      </c>
      <c r="F29" s="4">
        <v>4430</v>
      </c>
      <c r="G29" s="4">
        <f t="shared" si="23"/>
        <v>115135.7</v>
      </c>
      <c r="H29" s="21" t="s">
        <v>133</v>
      </c>
      <c r="I29" s="15">
        <v>14</v>
      </c>
      <c r="J29" s="17">
        <v>2400</v>
      </c>
      <c r="K29" s="16">
        <f t="shared" si="1"/>
        <v>171.42857142857142</v>
      </c>
      <c r="L29" s="15">
        <v>14</v>
      </c>
      <c r="M29" s="17">
        <f t="shared" si="24"/>
        <v>2291.3793103448279</v>
      </c>
      <c r="N29" s="16">
        <f t="shared" si="3"/>
        <v>163.66995073891627</v>
      </c>
      <c r="O29" s="18">
        <f t="shared" si="4"/>
        <v>0</v>
      </c>
      <c r="P29" s="19">
        <f t="shared" si="5"/>
        <v>-7.758620689655146</v>
      </c>
      <c r="Q29" s="20">
        <f t="shared" si="6"/>
        <v>0.95474137931034497</v>
      </c>
      <c r="R29" s="170"/>
      <c r="S29" s="27">
        <v>0.39444444444444443</v>
      </c>
      <c r="T29" s="27">
        <v>0.47499999999999998</v>
      </c>
      <c r="U29" s="4">
        <f t="shared" si="26"/>
        <v>4.9999999999999822</v>
      </c>
      <c r="V29" s="21">
        <f t="shared" si="25"/>
        <v>115.99999999999999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-108.6206896551721</v>
      </c>
      <c r="AF29" s="20">
        <f t="shared" si="9"/>
        <v>0.95474137931034497</v>
      </c>
      <c r="AG29" s="170"/>
    </row>
    <row r="30" spans="1:33" ht="15.75" customHeight="1">
      <c r="A30" s="191" t="s">
        <v>2688</v>
      </c>
      <c r="B30" s="35" t="s">
        <v>97</v>
      </c>
      <c r="C30" s="190" t="s">
        <v>102</v>
      </c>
      <c r="D30" s="190"/>
      <c r="E30" s="35">
        <v>26.18</v>
      </c>
      <c r="F30" s="4">
        <v>1831</v>
      </c>
      <c r="G30" s="4">
        <f t="shared" si="23"/>
        <v>47935.58</v>
      </c>
      <c r="H30" s="21" t="s">
        <v>133</v>
      </c>
      <c r="I30" s="15">
        <v>19</v>
      </c>
      <c r="J30" s="17">
        <v>2400</v>
      </c>
      <c r="K30" s="16">
        <f t="shared" si="1"/>
        <v>126.31578947368421</v>
      </c>
      <c r="L30" s="15">
        <v>19</v>
      </c>
      <c r="M30" s="17">
        <f t="shared" si="24"/>
        <v>2288.7500000000005</v>
      </c>
      <c r="N30" s="16">
        <f t="shared" si="3"/>
        <v>120.46052631578949</v>
      </c>
      <c r="O30" s="18">
        <f t="shared" si="4"/>
        <v>0</v>
      </c>
      <c r="P30" s="19">
        <f t="shared" si="5"/>
        <v>-5.8552631578947114</v>
      </c>
      <c r="Q30" s="20">
        <f t="shared" si="6"/>
        <v>0.95364583333333353</v>
      </c>
      <c r="R30" s="170"/>
      <c r="S30" s="27">
        <v>0.47916666666666663</v>
      </c>
      <c r="T30" s="27">
        <v>0.51249999999999996</v>
      </c>
      <c r="U30" s="4">
        <f t="shared" si="26"/>
        <v>5.9999999999999787</v>
      </c>
      <c r="V30" s="21">
        <f t="shared" si="25"/>
        <v>47.999999999999986</v>
      </c>
      <c r="W30" s="22">
        <f>T30</f>
        <v>0.51249999999999996</v>
      </c>
      <c r="X30" s="22">
        <f>S31</f>
        <v>0.55416666666666659</v>
      </c>
      <c r="Y30" s="22"/>
      <c r="Z30" s="22"/>
      <c r="AA30" s="162"/>
      <c r="AB30" s="162"/>
      <c r="AC30" s="24"/>
      <c r="AD30" s="24"/>
      <c r="AE30" s="18">
        <f t="shared" si="8"/>
        <v>-111.24999999999955</v>
      </c>
      <c r="AF30" s="20">
        <f t="shared" si="9"/>
        <v>0.95364583333333353</v>
      </c>
      <c r="AG30" s="170"/>
    </row>
    <row r="31" spans="1:33" ht="15.75" customHeight="1">
      <c r="A31" s="191" t="s">
        <v>54</v>
      </c>
      <c r="B31" s="35" t="s">
        <v>97</v>
      </c>
      <c r="C31" s="190" t="s">
        <v>98</v>
      </c>
      <c r="D31" s="190"/>
      <c r="E31" s="35">
        <v>31.29</v>
      </c>
      <c r="F31" s="4">
        <v>3541</v>
      </c>
      <c r="G31" s="4">
        <f t="shared" si="23"/>
        <v>110797.89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4"/>
        <v>2309.3478260869565</v>
      </c>
      <c r="N31" s="16">
        <f t="shared" si="3"/>
        <v>128.29710144927537</v>
      </c>
      <c r="O31" s="18">
        <f t="shared" si="4"/>
        <v>0</v>
      </c>
      <c r="P31" s="19">
        <f t="shared" si="5"/>
        <v>-5.036231884057969</v>
      </c>
      <c r="Q31" s="20">
        <f t="shared" si="6"/>
        <v>0.96222826086956526</v>
      </c>
      <c r="R31" s="170"/>
      <c r="S31" s="27">
        <v>0.55416666666666659</v>
      </c>
      <c r="T31" s="27">
        <v>0.61805555555555547</v>
      </c>
      <c r="U31" s="4">
        <f t="shared" si="26"/>
        <v>59.999999999999943</v>
      </c>
      <c r="V31" s="21">
        <f t="shared" si="25"/>
        <v>92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-90.652173913043498</v>
      </c>
      <c r="AF31" s="20">
        <f t="shared" si="9"/>
        <v>0.96222826086956526</v>
      </c>
      <c r="AG31" s="170"/>
    </row>
    <row r="32" spans="1:33" ht="15.75" customHeight="1">
      <c r="A32" s="191" t="s">
        <v>2688</v>
      </c>
      <c r="B32" s="35" t="s">
        <v>48</v>
      </c>
      <c r="C32" s="171"/>
      <c r="D32" s="171"/>
      <c r="E32" s="36"/>
      <c r="F32" s="4"/>
      <c r="G32" s="4"/>
      <c r="H32" s="4"/>
      <c r="I32" s="29">
        <v>18.333333333333332</v>
      </c>
      <c r="J32" s="17">
        <v>2400</v>
      </c>
      <c r="K32" s="16">
        <f t="shared" si="1"/>
        <v>130.90909090909091</v>
      </c>
      <c r="L32" s="29">
        <v>18.333333333333332</v>
      </c>
      <c r="M32" s="17">
        <f>AVERAGE(M26:M31)</f>
        <v>2292.0840257313534</v>
      </c>
      <c r="N32" s="16">
        <f t="shared" si="3"/>
        <v>125.02276503989201</v>
      </c>
      <c r="O32" s="18">
        <f t="shared" si="4"/>
        <v>0</v>
      </c>
      <c r="P32" s="19">
        <f t="shared" si="5"/>
        <v>-5.8863258691988989</v>
      </c>
      <c r="Q32" s="20">
        <f t="shared" si="6"/>
        <v>0.95503501072139729</v>
      </c>
      <c r="R32" s="170"/>
      <c r="S32" s="27"/>
      <c r="T32" s="27"/>
      <c r="U32" s="4"/>
      <c r="V32" s="21"/>
      <c r="W32" s="4"/>
      <c r="X32" s="4"/>
      <c r="Y32" s="30">
        <f>SUM(Y26:Y31)</f>
        <v>0</v>
      </c>
      <c r="Z32" s="30">
        <f>SUM(Z26:Z31)</f>
        <v>0</v>
      </c>
      <c r="AA32" s="166"/>
      <c r="AB32" s="166"/>
      <c r="AC32" s="30">
        <v>6</v>
      </c>
      <c r="AD32" s="30">
        <f>SUM(AD26:AD31)</f>
        <v>0</v>
      </c>
      <c r="AE32" s="18">
        <f t="shared" si="8"/>
        <v>-107.91597426864655</v>
      </c>
      <c r="AF32" s="20">
        <f t="shared" si="9"/>
        <v>0.95503501072139729</v>
      </c>
      <c r="AG32" s="170"/>
    </row>
    <row r="33" spans="1:33" ht="15.75" customHeight="1">
      <c r="A33" s="188" t="s">
        <v>2689</v>
      </c>
      <c r="B33" s="35" t="s">
        <v>97</v>
      </c>
      <c r="C33" s="163" t="s">
        <v>103</v>
      </c>
      <c r="D33" s="163"/>
      <c r="E33" s="35">
        <v>26.2</v>
      </c>
      <c r="F33" s="4">
        <v>4700</v>
      </c>
      <c r="G33" s="4">
        <f t="shared" ref="G33:G39" si="27">E33*F33</f>
        <v>123140</v>
      </c>
      <c r="H33" s="21">
        <v>2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ref="M33:M39" si="28">F33/V33*60</f>
        <v>2292.6829268292686</v>
      </c>
      <c r="N33" s="16">
        <f t="shared" si="3"/>
        <v>127.37127371273715</v>
      </c>
      <c r="O33" s="18">
        <f t="shared" si="4"/>
        <v>0</v>
      </c>
      <c r="P33" s="19">
        <f t="shared" si="5"/>
        <v>-5.9620596205961931</v>
      </c>
      <c r="Q33" s="20">
        <f t="shared" si="6"/>
        <v>0.9552845528455286</v>
      </c>
      <c r="R33" s="170">
        <f>Q40</f>
        <v>0.95674806552081459</v>
      </c>
      <c r="S33" s="27">
        <v>8.3333333333333329E-2</v>
      </c>
      <c r="T33" s="27">
        <v>0.16874999999999998</v>
      </c>
      <c r="U33" s="4"/>
      <c r="V33" s="21">
        <f t="shared" ref="V33:V39" si="29">(T33-S33)*24*60</f>
        <v>122.99999999999999</v>
      </c>
      <c r="W33" s="27">
        <f>T33</f>
        <v>0.16874999999999998</v>
      </c>
      <c r="X33" s="27">
        <f>S34</f>
        <v>0.18819444444444444</v>
      </c>
      <c r="Y33" s="27"/>
      <c r="Z33" s="27"/>
      <c r="AA33" s="162"/>
      <c r="AB33" s="162"/>
      <c r="AC33" s="24">
        <v>7</v>
      </c>
      <c r="AD33" s="24"/>
      <c r="AE33" s="18">
        <f t="shared" si="8"/>
        <v>-107.31707317073142</v>
      </c>
      <c r="AF33" s="20">
        <f t="shared" si="9"/>
        <v>0.9552845528455286</v>
      </c>
      <c r="AG33" s="170">
        <f>AF40</f>
        <v>0.95674806552081459</v>
      </c>
    </row>
    <row r="34" spans="1:33" ht="15.75" customHeight="1">
      <c r="A34" s="188" t="s">
        <v>2689</v>
      </c>
      <c r="B34" s="35" t="s">
        <v>97</v>
      </c>
      <c r="C34" s="163" t="s">
        <v>104</v>
      </c>
      <c r="D34" s="163"/>
      <c r="E34" s="35">
        <v>20.52</v>
      </c>
      <c r="F34" s="4">
        <v>4374</v>
      </c>
      <c r="G34" s="4">
        <f t="shared" si="27"/>
        <v>89754.48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2302.105263157895</v>
      </c>
      <c r="N34" s="16">
        <f t="shared" si="3"/>
        <v>127.89473684210527</v>
      </c>
      <c r="O34" s="18">
        <f t="shared" si="4"/>
        <v>0</v>
      </c>
      <c r="P34" s="19">
        <f t="shared" si="5"/>
        <v>-5.4385964912280684</v>
      </c>
      <c r="Q34" s="20">
        <f t="shared" si="6"/>
        <v>0.95921052631578951</v>
      </c>
      <c r="R34" s="170"/>
      <c r="S34" s="27">
        <v>0.18819444444444444</v>
      </c>
      <c r="T34" s="27">
        <v>0.2673611111111111</v>
      </c>
      <c r="U34" s="4">
        <f t="shared" ref="U34:U39" si="30">(S34-T33)*24*60</f>
        <v>28.000000000000021</v>
      </c>
      <c r="V34" s="21">
        <f t="shared" si="29"/>
        <v>114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-97.894736842104976</v>
      </c>
      <c r="AF34" s="20">
        <f t="shared" si="9"/>
        <v>0.95921052631578962</v>
      </c>
      <c r="AG34" s="170"/>
    </row>
    <row r="35" spans="1:33">
      <c r="A35" s="189" t="s">
        <v>2689</v>
      </c>
      <c r="B35" s="35" t="s">
        <v>97</v>
      </c>
      <c r="C35" s="163" t="s">
        <v>105</v>
      </c>
      <c r="D35" s="163"/>
      <c r="E35" s="35">
        <v>26.39</v>
      </c>
      <c r="F35" s="4">
        <v>4200</v>
      </c>
      <c r="G35" s="4">
        <f t="shared" si="27"/>
        <v>110838</v>
      </c>
      <c r="H35" s="21">
        <v>2</v>
      </c>
      <c r="I35" s="15">
        <v>19</v>
      </c>
      <c r="J35" s="17">
        <v>2400</v>
      </c>
      <c r="K35" s="16">
        <f t="shared" si="1"/>
        <v>126.31578947368421</v>
      </c>
      <c r="L35" s="15">
        <v>19</v>
      </c>
      <c r="M35" s="17">
        <f t="shared" si="28"/>
        <v>2290.909090909091</v>
      </c>
      <c r="N35" s="16">
        <f t="shared" si="3"/>
        <v>120.57416267942584</v>
      </c>
      <c r="O35" s="18">
        <f t="shared" si="4"/>
        <v>0</v>
      </c>
      <c r="P35" s="19">
        <f t="shared" si="5"/>
        <v>-5.7416267942583659</v>
      </c>
      <c r="Q35" s="20">
        <f t="shared" si="6"/>
        <v>0.95454545454545459</v>
      </c>
      <c r="R35" s="170"/>
      <c r="S35" s="27">
        <v>0.2722222222222222</v>
      </c>
      <c r="T35" s="27">
        <v>0.34861111111111109</v>
      </c>
      <c r="U35" s="4">
        <f t="shared" si="30"/>
        <v>6.9999999999999751</v>
      </c>
      <c r="V35" s="21">
        <f t="shared" si="29"/>
        <v>110.00000000000001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-109.09090909090901</v>
      </c>
      <c r="AF35" s="20">
        <f t="shared" si="9"/>
        <v>0.95454545454545459</v>
      </c>
      <c r="AG35" s="170"/>
    </row>
    <row r="36" spans="1:33">
      <c r="A36" s="189" t="s">
        <v>60</v>
      </c>
      <c r="B36" s="35" t="s">
        <v>97</v>
      </c>
      <c r="C36" s="163" t="s">
        <v>107</v>
      </c>
      <c r="D36" s="163"/>
      <c r="E36" s="35">
        <v>20.52</v>
      </c>
      <c r="F36" s="4">
        <v>2915</v>
      </c>
      <c r="G36" s="4">
        <f t="shared" si="27"/>
        <v>59815.799999999996</v>
      </c>
      <c r="H36" s="21" t="s">
        <v>133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2301.3157894736851</v>
      </c>
      <c r="N36" s="16">
        <f t="shared" si="3"/>
        <v>127.85087719298251</v>
      </c>
      <c r="O36" s="18">
        <f t="shared" si="4"/>
        <v>0</v>
      </c>
      <c r="P36" s="19">
        <f t="shared" si="5"/>
        <v>-5.4824561403508341</v>
      </c>
      <c r="Q36" s="20">
        <f t="shared" si="6"/>
        <v>0.9588815789473687</v>
      </c>
      <c r="R36" s="170"/>
      <c r="S36" s="27">
        <v>0.35277777777777775</v>
      </c>
      <c r="T36" s="27">
        <v>0.4055555555555555</v>
      </c>
      <c r="U36" s="4">
        <f t="shared" si="30"/>
        <v>5.9999999999999787</v>
      </c>
      <c r="V36" s="21">
        <f t="shared" si="29"/>
        <v>75.999999999999972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-98.684210526314928</v>
      </c>
      <c r="AF36" s="20">
        <f t="shared" si="9"/>
        <v>0.95888157894736881</v>
      </c>
      <c r="AG36" s="170"/>
    </row>
    <row r="37" spans="1:33">
      <c r="A37" s="189" t="s">
        <v>2689</v>
      </c>
      <c r="B37" s="35" t="s">
        <v>97</v>
      </c>
      <c r="C37" s="163" t="s">
        <v>304</v>
      </c>
      <c r="D37" s="163"/>
      <c r="E37" s="35">
        <v>22.69</v>
      </c>
      <c r="F37" s="4">
        <v>6026</v>
      </c>
      <c r="G37" s="4">
        <f t="shared" si="27"/>
        <v>136729.94</v>
      </c>
      <c r="H37" s="21" t="s">
        <v>133</v>
      </c>
      <c r="I37" s="15">
        <v>15</v>
      </c>
      <c r="J37" s="17">
        <v>2400</v>
      </c>
      <c r="K37" s="16">
        <f t="shared" si="1"/>
        <v>160</v>
      </c>
      <c r="L37" s="15">
        <v>15</v>
      </c>
      <c r="M37" s="17">
        <f t="shared" si="28"/>
        <v>2288.3544303797471</v>
      </c>
      <c r="N37" s="16">
        <f t="shared" si="3"/>
        <v>152.55696202531647</v>
      </c>
      <c r="O37" s="18">
        <f t="shared" si="4"/>
        <v>0</v>
      </c>
      <c r="P37" s="19">
        <f t="shared" si="5"/>
        <v>-7.4430379746835342</v>
      </c>
      <c r="Q37" s="20">
        <f t="shared" si="6"/>
        <v>0.95348101265822793</v>
      </c>
      <c r="R37" s="170"/>
      <c r="S37" s="27">
        <v>0.40972222222222215</v>
      </c>
      <c r="T37" s="27">
        <v>0.51944444444444438</v>
      </c>
      <c r="U37" s="4">
        <f t="shared" si="30"/>
        <v>5.9999999999999787</v>
      </c>
      <c r="V37" s="21">
        <f t="shared" si="29"/>
        <v>158</v>
      </c>
      <c r="W37" s="22">
        <f>T37</f>
        <v>0.51944444444444438</v>
      </c>
      <c r="X37" s="22">
        <f>S38</f>
        <v>0.55833333333333324</v>
      </c>
      <c r="Y37" s="22"/>
      <c r="Z37" s="22"/>
      <c r="AA37" s="162"/>
      <c r="AB37" s="162"/>
      <c r="AC37" s="24"/>
      <c r="AD37" s="24"/>
      <c r="AE37" s="18">
        <f t="shared" si="8"/>
        <v>-111.6455696202529</v>
      </c>
      <c r="AF37" s="20">
        <f t="shared" si="9"/>
        <v>0.95348101265822793</v>
      </c>
      <c r="AG37" s="170"/>
    </row>
    <row r="38" spans="1:33">
      <c r="A38" s="189" t="s">
        <v>60</v>
      </c>
      <c r="B38" s="35" t="s">
        <v>97</v>
      </c>
      <c r="C38" s="163" t="s">
        <v>103</v>
      </c>
      <c r="D38" s="163"/>
      <c r="E38" s="35">
        <v>26.2</v>
      </c>
      <c r="F38" s="4">
        <v>2660</v>
      </c>
      <c r="G38" s="4">
        <f t="shared" si="27"/>
        <v>69692</v>
      </c>
      <c r="H38" s="21" t="s">
        <v>133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2279.9999999999977</v>
      </c>
      <c r="N38" s="16">
        <f t="shared" si="3"/>
        <v>126.66666666666654</v>
      </c>
      <c r="O38" s="18">
        <f t="shared" si="4"/>
        <v>0</v>
      </c>
      <c r="P38" s="19">
        <f t="shared" si="5"/>
        <v>-6.6666666666667993</v>
      </c>
      <c r="Q38" s="20">
        <f t="shared" si="6"/>
        <v>0.94999999999999896</v>
      </c>
      <c r="R38" s="170"/>
      <c r="S38" s="27">
        <v>0.55833333333333324</v>
      </c>
      <c r="T38" s="27">
        <v>0.6069444444444444</v>
      </c>
      <c r="U38" s="4">
        <f t="shared" si="30"/>
        <v>55.999999999999957</v>
      </c>
      <c r="V38" s="21">
        <f t="shared" si="29"/>
        <v>70.000000000000071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-120.00000000000227</v>
      </c>
      <c r="AF38" s="20">
        <f t="shared" si="9"/>
        <v>0.94999999999999907</v>
      </c>
      <c r="AG38" s="170"/>
    </row>
    <row r="39" spans="1:33">
      <c r="A39" s="189" t="s">
        <v>60</v>
      </c>
      <c r="B39" s="35" t="s">
        <v>97</v>
      </c>
      <c r="C39" s="163" t="s">
        <v>105</v>
      </c>
      <c r="D39" s="163"/>
      <c r="E39" s="35">
        <v>26.39</v>
      </c>
      <c r="F39" s="4">
        <v>2318</v>
      </c>
      <c r="G39" s="4">
        <f t="shared" si="27"/>
        <v>61172.020000000004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2318.0000000000023</v>
      </c>
      <c r="N39" s="16">
        <f t="shared" si="3"/>
        <v>122.00000000000011</v>
      </c>
      <c r="O39" s="18">
        <f t="shared" si="4"/>
        <v>0</v>
      </c>
      <c r="P39" s="19">
        <f t="shared" si="5"/>
        <v>-4.3157894736840916</v>
      </c>
      <c r="Q39" s="20">
        <f t="shared" si="6"/>
        <v>0.96583333333333432</v>
      </c>
      <c r="R39" s="170"/>
      <c r="S39" s="27">
        <v>0.61180555555555549</v>
      </c>
      <c r="T39" s="27">
        <v>0.65347222222222212</v>
      </c>
      <c r="U39" s="4">
        <f t="shared" si="30"/>
        <v>6.9999999999999751</v>
      </c>
      <c r="V39" s="21">
        <f t="shared" si="29"/>
        <v>59.999999999999943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-81.999999999997726</v>
      </c>
      <c r="AF39" s="20">
        <f t="shared" si="9"/>
        <v>0.96583333333333432</v>
      </c>
      <c r="AG39" s="170"/>
    </row>
    <row r="40" spans="1:33">
      <c r="A40" s="189" t="s">
        <v>60</v>
      </c>
      <c r="B40" s="16" t="s">
        <v>48</v>
      </c>
      <c r="C40" s="171"/>
      <c r="D40" s="171"/>
      <c r="E40" s="36"/>
      <c r="F40" s="16"/>
      <c r="G40" s="16"/>
      <c r="H40" s="4"/>
      <c r="I40" s="29">
        <v>17.857142857142858</v>
      </c>
      <c r="J40" s="17">
        <v>2400</v>
      </c>
      <c r="K40" s="16">
        <f t="shared" si="1"/>
        <v>134.4</v>
      </c>
      <c r="L40" s="29">
        <v>17.857142857142858</v>
      </c>
      <c r="M40" s="17">
        <f>AVERAGE(M33:M39)</f>
        <v>2296.1953572499551</v>
      </c>
      <c r="N40" s="16">
        <f t="shared" si="3"/>
        <v>128.58694000599749</v>
      </c>
      <c r="O40" s="18">
        <f t="shared" si="4"/>
        <v>0</v>
      </c>
      <c r="P40" s="19">
        <f t="shared" si="5"/>
        <v>-5.8130599940025149</v>
      </c>
      <c r="Q40" s="20">
        <f t="shared" si="6"/>
        <v>0.95674806552081459</v>
      </c>
      <c r="R40" s="170"/>
      <c r="S40" s="27"/>
      <c r="T40" s="27"/>
      <c r="U40" s="16"/>
      <c r="V40" s="21"/>
      <c r="W40" s="16"/>
      <c r="X40" s="16"/>
      <c r="Y40" s="30">
        <f>SUM(Y33:Y39)</f>
        <v>0</v>
      </c>
      <c r="Z40" s="30">
        <f>SUM(Z33:Z39)</f>
        <v>0</v>
      </c>
      <c r="AA40" s="166"/>
      <c r="AB40" s="166"/>
      <c r="AC40" s="30">
        <v>7</v>
      </c>
      <c r="AD40" s="30">
        <f>SUM(AD33:AD39)</f>
        <v>0</v>
      </c>
      <c r="AE40" s="18">
        <f t="shared" si="8"/>
        <v>-103.80464275004488</v>
      </c>
      <c r="AF40" s="20">
        <f t="shared" si="9"/>
        <v>0.95674806552081459</v>
      </c>
      <c r="AG40" s="170"/>
    </row>
    <row r="41" spans="1:33" ht="15.75" customHeight="1">
      <c r="A41" s="182" t="s">
        <v>66</v>
      </c>
      <c r="B41" s="35" t="s">
        <v>108</v>
      </c>
      <c r="C41" s="174" t="s">
        <v>1514</v>
      </c>
      <c r="D41" s="175"/>
      <c r="E41" s="35">
        <v>34.35</v>
      </c>
      <c r="F41" s="4">
        <v>3790</v>
      </c>
      <c r="G41" s="4">
        <f t="shared" ref="G41:G45" si="31">E41*F41</f>
        <v>130186.5</v>
      </c>
      <c r="H41" s="21" t="s">
        <v>133</v>
      </c>
      <c r="I41" s="15">
        <v>8</v>
      </c>
      <c r="J41" s="17">
        <v>3000</v>
      </c>
      <c r="K41" s="16">
        <f t="shared" si="1"/>
        <v>375</v>
      </c>
      <c r="L41" s="15">
        <v>8</v>
      </c>
      <c r="M41" s="17">
        <f t="shared" ref="M41:M45" si="32">F41/V41*60</f>
        <v>2878.481012658227</v>
      </c>
      <c r="N41" s="17">
        <f t="shared" si="3"/>
        <v>359.81012658227837</v>
      </c>
      <c r="O41" s="18">
        <f t="shared" si="4"/>
        <v>0</v>
      </c>
      <c r="P41" s="19">
        <f t="shared" si="5"/>
        <v>-15.189873417721628</v>
      </c>
      <c r="Q41" s="20">
        <f t="shared" si="6"/>
        <v>0.95949367088607562</v>
      </c>
      <c r="R41" s="185">
        <f>Q46</f>
        <v>0.9575402431146911</v>
      </c>
      <c r="S41" s="27">
        <v>8.3333333333333329E-2</v>
      </c>
      <c r="T41" s="27">
        <v>0.13819444444444445</v>
      </c>
      <c r="U41" s="27"/>
      <c r="V41" s="21">
        <f t="shared" ref="V41:V45" si="33">(T41-S41)*24*60</f>
        <v>79.000000000000014</v>
      </c>
      <c r="W41" s="22">
        <f>T41</f>
        <v>0.13819444444444445</v>
      </c>
      <c r="X41" s="22">
        <f>S42</f>
        <v>0.15833333333333335</v>
      </c>
      <c r="Y41" s="25"/>
      <c r="Z41" s="25"/>
      <c r="AA41" s="176"/>
      <c r="AB41" s="177"/>
      <c r="AC41" s="24">
        <v>5</v>
      </c>
      <c r="AD41" s="24"/>
      <c r="AE41" s="18">
        <f t="shared" si="8"/>
        <v>-121.51898734177303</v>
      </c>
      <c r="AF41" s="20">
        <f t="shared" si="9"/>
        <v>0.95949367088607562</v>
      </c>
      <c r="AG41" s="185">
        <f>AF46</f>
        <v>0.9575402431146911</v>
      </c>
    </row>
    <row r="42" spans="1:33" ht="15.75" customHeight="1">
      <c r="A42" s="183" t="s">
        <v>2690</v>
      </c>
      <c r="B42" s="35" t="s">
        <v>108</v>
      </c>
      <c r="C42" s="174" t="s">
        <v>111</v>
      </c>
      <c r="D42" s="175"/>
      <c r="E42" s="35">
        <v>21.13</v>
      </c>
      <c r="F42" s="4">
        <v>5926</v>
      </c>
      <c r="G42" s="4">
        <f t="shared" si="31"/>
        <v>125216.37999999999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2867.4193548387102</v>
      </c>
      <c r="N42" s="17">
        <f t="shared" si="3"/>
        <v>286.74193548387103</v>
      </c>
      <c r="O42" s="18">
        <f t="shared" si="4"/>
        <v>0</v>
      </c>
      <c r="P42" s="19">
        <f t="shared" si="5"/>
        <v>-13.258064516128968</v>
      </c>
      <c r="Q42" s="20">
        <f t="shared" si="6"/>
        <v>0.95580645161290345</v>
      </c>
      <c r="R42" s="186"/>
      <c r="S42" s="27">
        <v>0.15833333333333335</v>
      </c>
      <c r="T42" s="27">
        <v>0.24444444444444446</v>
      </c>
      <c r="U42" s="4">
        <f t="shared" ref="U42:U45" si="34">(S42-T41)*24*60</f>
        <v>29.000000000000018</v>
      </c>
      <c r="V42" s="21">
        <f t="shared" si="33"/>
        <v>123.99999999999999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-132.58064516128979</v>
      </c>
      <c r="AF42" s="20">
        <f t="shared" si="9"/>
        <v>0.95580645161290345</v>
      </c>
      <c r="AG42" s="186"/>
    </row>
    <row r="43" spans="1:33" ht="15.75" customHeight="1">
      <c r="A43" s="183" t="s">
        <v>66</v>
      </c>
      <c r="B43" s="35" t="s">
        <v>108</v>
      </c>
      <c r="C43" s="174" t="s">
        <v>112</v>
      </c>
      <c r="D43" s="175"/>
      <c r="E43" s="35">
        <v>27.17</v>
      </c>
      <c r="F43" s="4">
        <v>7833</v>
      </c>
      <c r="G43" s="4">
        <f t="shared" si="31"/>
        <v>212822.61000000002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2865.7317073170739</v>
      </c>
      <c r="N43" s="17">
        <f t="shared" si="3"/>
        <v>286.57317073170736</v>
      </c>
      <c r="O43" s="18">
        <f t="shared" si="4"/>
        <v>0</v>
      </c>
      <c r="P43" s="19">
        <f t="shared" si="5"/>
        <v>-13.426829268292636</v>
      </c>
      <c r="Q43" s="20">
        <f t="shared" si="6"/>
        <v>0.95524390243902457</v>
      </c>
      <c r="R43" s="186"/>
      <c r="S43" s="27">
        <v>0.24791666666666667</v>
      </c>
      <c r="T43" s="27">
        <v>0.36180555555555555</v>
      </c>
      <c r="U43" s="4">
        <f t="shared" si="34"/>
        <v>4.9999999999999822</v>
      </c>
      <c r="V43" s="21">
        <f t="shared" si="33"/>
        <v>163.99999999999997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-134.26829268292613</v>
      </c>
      <c r="AF43" s="20">
        <f t="shared" si="9"/>
        <v>0.95524390243902457</v>
      </c>
      <c r="AG43" s="186"/>
    </row>
    <row r="44" spans="1:33" ht="15.75" customHeight="1">
      <c r="A44" s="183" t="s">
        <v>2690</v>
      </c>
      <c r="B44" s="35" t="s">
        <v>108</v>
      </c>
      <c r="C44" s="174" t="s">
        <v>305</v>
      </c>
      <c r="D44" s="175"/>
      <c r="E44" s="35">
        <v>28.3</v>
      </c>
      <c r="F44" s="4">
        <v>2492</v>
      </c>
      <c r="G44" s="4">
        <f t="shared" si="31"/>
        <v>70523.600000000006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2875.3846153846171</v>
      </c>
      <c r="N44" s="17">
        <f t="shared" si="3"/>
        <v>359.42307692307713</v>
      </c>
      <c r="O44" s="18">
        <f t="shared" si="4"/>
        <v>0</v>
      </c>
      <c r="P44" s="19">
        <f t="shared" si="5"/>
        <v>-15.576923076922867</v>
      </c>
      <c r="Q44" s="20">
        <f t="shared" si="6"/>
        <v>0.95846153846153903</v>
      </c>
      <c r="R44" s="186"/>
      <c r="S44" s="27">
        <v>0.36736111111111108</v>
      </c>
      <c r="T44" s="27">
        <v>0.40347222222222218</v>
      </c>
      <c r="U44" s="4">
        <f t="shared" si="34"/>
        <v>7.9999999999999716</v>
      </c>
      <c r="V44" s="21">
        <f t="shared" si="33"/>
        <v>51.999999999999972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-124.61538461538294</v>
      </c>
      <c r="AF44" s="20">
        <f t="shared" si="9"/>
        <v>0.95846153846153903</v>
      </c>
      <c r="AG44" s="186"/>
    </row>
    <row r="45" spans="1:33" ht="15.75" customHeight="1">
      <c r="A45" s="183" t="s">
        <v>66</v>
      </c>
      <c r="B45" s="35" t="s">
        <v>108</v>
      </c>
      <c r="C45" s="174" t="s">
        <v>113</v>
      </c>
      <c r="D45" s="175"/>
      <c r="E45" s="35">
        <v>35.869999999999997</v>
      </c>
      <c r="F45" s="4">
        <v>4410</v>
      </c>
      <c r="G45" s="4">
        <f t="shared" si="31"/>
        <v>158186.69999999998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2876.086956521739</v>
      </c>
      <c r="N45" s="17">
        <f t="shared" si="3"/>
        <v>319.56521739130432</v>
      </c>
      <c r="O45" s="18">
        <f t="shared" si="4"/>
        <v>0</v>
      </c>
      <c r="P45" s="19">
        <f t="shared" si="5"/>
        <v>-13.768115942028999</v>
      </c>
      <c r="Q45" s="20">
        <f t="shared" si="6"/>
        <v>0.95869565217391295</v>
      </c>
      <c r="R45" s="186"/>
      <c r="S45" s="27">
        <v>0.40833333333333327</v>
      </c>
      <c r="T45" s="27">
        <v>0.47222222222222215</v>
      </c>
      <c r="U45" s="4">
        <f t="shared" si="34"/>
        <v>6.9999999999999751</v>
      </c>
      <c r="V45" s="21">
        <f t="shared" si="33"/>
        <v>92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-123.91304347826099</v>
      </c>
      <c r="AF45" s="20">
        <f t="shared" si="9"/>
        <v>0.95869565217391295</v>
      </c>
      <c r="AG45" s="186"/>
    </row>
    <row r="46" spans="1:33" ht="15.75" customHeight="1">
      <c r="A46" s="184" t="s">
        <v>66</v>
      </c>
      <c r="B46" s="35" t="s">
        <v>48</v>
      </c>
      <c r="C46" s="164"/>
      <c r="D46" s="165"/>
      <c r="E46" s="37"/>
      <c r="F46" s="4"/>
      <c r="G46" s="4"/>
      <c r="H46" s="4"/>
      <c r="I46" s="29">
        <v>9</v>
      </c>
      <c r="J46" s="17">
        <v>3000</v>
      </c>
      <c r="K46" s="16">
        <f t="shared" si="1"/>
        <v>333.33333333333331</v>
      </c>
      <c r="L46" s="29">
        <v>9</v>
      </c>
      <c r="M46" s="17">
        <f>AVERAGE(M41:M45)</f>
        <v>2872.6207293440734</v>
      </c>
      <c r="N46" s="16">
        <f t="shared" si="3"/>
        <v>319.18008103823036</v>
      </c>
      <c r="O46" s="18">
        <f t="shared" si="4"/>
        <v>0</v>
      </c>
      <c r="P46" s="19">
        <f t="shared" si="5"/>
        <v>-14.153252295102959</v>
      </c>
      <c r="Q46" s="20">
        <f t="shared" si="6"/>
        <v>0.9575402431146911</v>
      </c>
      <c r="R46" s="187"/>
      <c r="S46" s="27"/>
      <c r="T46" s="27"/>
      <c r="U46" s="4"/>
      <c r="V46" s="21"/>
      <c r="W46" s="22"/>
      <c r="X46" s="22"/>
      <c r="Y46" s="30">
        <f>SUM(Y41:Y45)</f>
        <v>0</v>
      </c>
      <c r="Z46" s="30">
        <f>SUM(Z41:Z45)</f>
        <v>0</v>
      </c>
      <c r="AA46" s="180"/>
      <c r="AB46" s="181"/>
      <c r="AC46" s="30">
        <v>5</v>
      </c>
      <c r="AD46" s="30">
        <f>SUM(AD41:AD45)</f>
        <v>0</v>
      </c>
      <c r="AE46" s="18">
        <f t="shared" si="8"/>
        <v>-127.37927065592658</v>
      </c>
      <c r="AF46" s="20">
        <f t="shared" si="9"/>
        <v>0.9575402431146911</v>
      </c>
      <c r="AG46" s="187"/>
    </row>
    <row r="47" spans="1:33" ht="15.75" customHeight="1">
      <c r="A47" s="178" t="s">
        <v>2691</v>
      </c>
      <c r="B47" s="35" t="s">
        <v>84</v>
      </c>
      <c r="C47" s="163" t="s">
        <v>114</v>
      </c>
      <c r="D47" s="163"/>
      <c r="E47" s="35">
        <v>46</v>
      </c>
      <c r="F47" s="38">
        <v>2459</v>
      </c>
      <c r="G47" s="4">
        <f t="shared" ref="G47:G54" si="35">E47*F47</f>
        <v>113114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" si="36">F47/V47*60</f>
        <v>1916.1038961038962</v>
      </c>
      <c r="N47" s="17">
        <f t="shared" si="3"/>
        <v>112.71199388846448</v>
      </c>
      <c r="O47" s="18">
        <f t="shared" si="4"/>
        <v>0</v>
      </c>
      <c r="P47" s="19">
        <f t="shared" si="5"/>
        <v>-4.9350649350649292</v>
      </c>
      <c r="Q47" s="20">
        <f t="shared" si="6"/>
        <v>0.95805194805194815</v>
      </c>
      <c r="R47" s="170">
        <f>Q55</f>
        <v>0.95664431952525053</v>
      </c>
      <c r="S47" s="27">
        <v>0.20833333333333334</v>
      </c>
      <c r="T47" s="27">
        <v>0.26180555555555557</v>
      </c>
      <c r="U47" s="27"/>
      <c r="V47" s="21">
        <f t="shared" ref="V47:V54" si="37">(T47-S47)*24*60</f>
        <v>77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-83.896103896103796</v>
      </c>
      <c r="AF47" s="20">
        <f t="shared" si="9"/>
        <v>0.95805194805194815</v>
      </c>
      <c r="AG47" s="170">
        <f>AF55</f>
        <v>0.95664431952525042</v>
      </c>
    </row>
    <row r="48" spans="1:33" ht="15.75" customHeight="1">
      <c r="A48" s="178" t="s">
        <v>2691</v>
      </c>
      <c r="B48" s="35" t="s">
        <v>78</v>
      </c>
      <c r="C48" s="163" t="s">
        <v>115</v>
      </c>
      <c r="D48" s="163"/>
      <c r="E48" s="35">
        <v>56.43</v>
      </c>
      <c r="F48" s="38">
        <v>1849</v>
      </c>
      <c r="G48" s="4">
        <f t="shared" si="35"/>
        <v>104339.06999999999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>F48/V48*60</f>
        <v>1912.758620689654</v>
      </c>
      <c r="N48" s="17">
        <f t="shared" si="3"/>
        <v>86.943573667711547</v>
      </c>
      <c r="O48" s="18">
        <f t="shared" si="4"/>
        <v>0</v>
      </c>
      <c r="P48" s="19">
        <f t="shared" si="5"/>
        <v>-3.9655172413793593</v>
      </c>
      <c r="Q48" s="20">
        <f t="shared" si="6"/>
        <v>0.95637931034482704</v>
      </c>
      <c r="R48" s="170"/>
      <c r="S48" s="27">
        <v>0.2673611111111111</v>
      </c>
      <c r="T48" s="27">
        <v>0.30763888888888891</v>
      </c>
      <c r="U48" s="4">
        <f t="shared" ref="U48:U54" si="38">IF(S48=TIME(17,0,0),"",(S48-T47)*24*60)</f>
        <v>7.9999999999999716</v>
      </c>
      <c r="V48" s="21">
        <f t="shared" si="37"/>
        <v>58.000000000000036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-87.241379310346019</v>
      </c>
      <c r="AF48" s="20">
        <f t="shared" si="9"/>
        <v>0.95637931034482704</v>
      </c>
      <c r="AG48" s="170"/>
    </row>
    <row r="49" spans="1:33" ht="15.75" customHeight="1">
      <c r="A49" s="178" t="s">
        <v>2691</v>
      </c>
      <c r="B49" s="35" t="s">
        <v>78</v>
      </c>
      <c r="C49" s="174" t="s">
        <v>116</v>
      </c>
      <c r="D49" s="175"/>
      <c r="E49" s="35">
        <v>51.75</v>
      </c>
      <c r="F49" s="38">
        <v>1274</v>
      </c>
      <c r="G49" s="4">
        <f t="shared" si="35"/>
        <v>65929.5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ref="M49:M54" si="39">F49/V49*60</f>
        <v>1910.9999999999993</v>
      </c>
      <c r="N49" s="17">
        <f t="shared" si="3"/>
        <v>76.439999999999969</v>
      </c>
      <c r="O49" s="18">
        <f t="shared" si="4"/>
        <v>0</v>
      </c>
      <c r="P49" s="19">
        <f t="shared" si="5"/>
        <v>-3.5600000000000307</v>
      </c>
      <c r="Q49" s="20">
        <f t="shared" si="6"/>
        <v>0.95549999999999957</v>
      </c>
      <c r="R49" s="170"/>
      <c r="S49" s="27">
        <v>0.31180555555555556</v>
      </c>
      <c r="T49" s="27">
        <v>0.33958333333333335</v>
      </c>
      <c r="U49" s="4">
        <f t="shared" si="38"/>
        <v>5.9999999999999787</v>
      </c>
      <c r="V49" s="21">
        <f t="shared" si="37"/>
        <v>40.000000000000014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-89.000000000000682</v>
      </c>
      <c r="AF49" s="20">
        <f t="shared" si="9"/>
        <v>0.95549999999999968</v>
      </c>
      <c r="AG49" s="170"/>
    </row>
    <row r="50" spans="1:33" ht="15.75" customHeight="1">
      <c r="A50" s="178" t="s">
        <v>2691</v>
      </c>
      <c r="B50" s="35" t="s">
        <v>78</v>
      </c>
      <c r="C50" s="39" t="s">
        <v>118</v>
      </c>
      <c r="D50" s="40"/>
      <c r="E50" s="35">
        <v>57.73</v>
      </c>
      <c r="F50" s="38">
        <v>1072</v>
      </c>
      <c r="G50" s="4">
        <f t="shared" si="35"/>
        <v>61886.559999999998</v>
      </c>
      <c r="H50" s="21" t="s">
        <v>133</v>
      </c>
      <c r="I50" s="15">
        <v>16</v>
      </c>
      <c r="J50" s="17">
        <v>1500</v>
      </c>
      <c r="K50" s="16">
        <f t="shared" si="1"/>
        <v>93.75</v>
      </c>
      <c r="L50" s="15">
        <v>16</v>
      </c>
      <c r="M50" s="17">
        <f t="shared" si="39"/>
        <v>1429.3333333333335</v>
      </c>
      <c r="N50" s="17">
        <f t="shared" si="3"/>
        <v>89.333333333333343</v>
      </c>
      <c r="O50" s="18">
        <f t="shared" si="4"/>
        <v>0</v>
      </c>
      <c r="P50" s="19">
        <f t="shared" si="5"/>
        <v>-4.4166666666666572</v>
      </c>
      <c r="Q50" s="20">
        <f t="shared" si="6"/>
        <v>0.95288888888888901</v>
      </c>
      <c r="R50" s="170"/>
      <c r="S50" s="27">
        <v>0.70833333333333337</v>
      </c>
      <c r="T50" s="27">
        <v>0.73958333333333337</v>
      </c>
      <c r="U50" s="4" t="str">
        <f t="shared" si="38"/>
        <v/>
      </c>
      <c r="V50" s="21">
        <f t="shared" si="37"/>
        <v>45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-70.666666666666515</v>
      </c>
      <c r="AF50" s="20">
        <f t="shared" si="9"/>
        <v>0.95288888888888901</v>
      </c>
      <c r="AG50" s="170"/>
    </row>
    <row r="51" spans="1:33" ht="15.75" customHeight="1">
      <c r="A51" s="178" t="s">
        <v>2691</v>
      </c>
      <c r="B51" s="35" t="s">
        <v>78</v>
      </c>
      <c r="C51" s="39" t="s">
        <v>119</v>
      </c>
      <c r="D51" s="40"/>
      <c r="E51" s="35">
        <v>54.29</v>
      </c>
      <c r="F51" s="38">
        <v>1248</v>
      </c>
      <c r="G51" s="4">
        <f t="shared" si="35"/>
        <v>67753.919999999998</v>
      </c>
      <c r="H51" s="21" t="s">
        <v>133</v>
      </c>
      <c r="I51" s="15">
        <v>20</v>
      </c>
      <c r="J51" s="17">
        <v>2000</v>
      </c>
      <c r="K51" s="16">
        <f t="shared" si="1"/>
        <v>100</v>
      </c>
      <c r="L51" s="15">
        <v>20</v>
      </c>
      <c r="M51" s="17">
        <f t="shared" si="39"/>
        <v>1919.9999999999989</v>
      </c>
      <c r="N51" s="17">
        <f t="shared" si="3"/>
        <v>95.999999999999943</v>
      </c>
      <c r="O51" s="18">
        <f t="shared" si="4"/>
        <v>0</v>
      </c>
      <c r="P51" s="19">
        <f t="shared" si="5"/>
        <v>-4.0000000000000568</v>
      </c>
      <c r="Q51" s="20">
        <f t="shared" si="6"/>
        <v>0.95999999999999941</v>
      </c>
      <c r="R51" s="170"/>
      <c r="S51" s="27">
        <v>0.74444444444444446</v>
      </c>
      <c r="T51" s="27">
        <v>0.77152777777777781</v>
      </c>
      <c r="U51" s="4">
        <f t="shared" si="38"/>
        <v>6.9999999999999751</v>
      </c>
      <c r="V51" s="21">
        <f t="shared" si="37"/>
        <v>39.000000000000021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-80.000000000001137</v>
      </c>
      <c r="AF51" s="20">
        <f t="shared" si="9"/>
        <v>0.95999999999999941</v>
      </c>
      <c r="AG51" s="170"/>
    </row>
    <row r="52" spans="1:33" ht="15.75" customHeight="1">
      <c r="A52" s="178" t="s">
        <v>2691</v>
      </c>
      <c r="B52" s="35" t="s">
        <v>78</v>
      </c>
      <c r="C52" s="174" t="s">
        <v>120</v>
      </c>
      <c r="D52" s="175"/>
      <c r="E52" s="35">
        <v>55.56</v>
      </c>
      <c r="F52" s="38">
        <v>800</v>
      </c>
      <c r="G52" s="4">
        <f t="shared" si="35"/>
        <v>44448</v>
      </c>
      <c r="H52" s="21">
        <v>2</v>
      </c>
      <c r="I52" s="15">
        <v>17</v>
      </c>
      <c r="J52" s="17">
        <v>2000</v>
      </c>
      <c r="K52" s="16">
        <f t="shared" si="1"/>
        <v>117.64705882352941</v>
      </c>
      <c r="L52" s="15">
        <v>17</v>
      </c>
      <c r="M52" s="17">
        <f t="shared" si="39"/>
        <v>1919.9999999999945</v>
      </c>
      <c r="N52" s="17">
        <f t="shared" si="3"/>
        <v>112.94117647058792</v>
      </c>
      <c r="O52" s="18">
        <f t="shared" si="4"/>
        <v>0</v>
      </c>
      <c r="P52" s="19">
        <f t="shared" si="5"/>
        <v>-4.7058823529414866</v>
      </c>
      <c r="Q52" s="20">
        <f t="shared" si="6"/>
        <v>0.95999999999999741</v>
      </c>
      <c r="R52" s="170"/>
      <c r="S52" s="27">
        <v>0.77638888888888891</v>
      </c>
      <c r="T52" s="27">
        <v>0.79375000000000007</v>
      </c>
      <c r="U52" s="4">
        <f t="shared" si="38"/>
        <v>6.9999999999999751</v>
      </c>
      <c r="V52" s="21">
        <f t="shared" si="37"/>
        <v>25.000000000000071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-80.000000000005457</v>
      </c>
      <c r="AF52" s="20">
        <f t="shared" si="9"/>
        <v>0.9599999999999973</v>
      </c>
      <c r="AG52" s="170"/>
    </row>
    <row r="53" spans="1:33" ht="15.75" customHeight="1">
      <c r="A53" s="178" t="s">
        <v>2691</v>
      </c>
      <c r="B53" s="35" t="s">
        <v>78</v>
      </c>
      <c r="C53" s="174" t="s">
        <v>121</v>
      </c>
      <c r="D53" s="175"/>
      <c r="E53" s="35">
        <v>55.32</v>
      </c>
      <c r="F53" s="38">
        <v>1497</v>
      </c>
      <c r="G53" s="4">
        <f t="shared" si="35"/>
        <v>82814.039999999994</v>
      </c>
      <c r="H53" s="21" t="s">
        <v>133</v>
      </c>
      <c r="I53" s="15">
        <v>15</v>
      </c>
      <c r="J53" s="17">
        <v>2000</v>
      </c>
      <c r="K53" s="16">
        <f t="shared" si="1"/>
        <v>133.33333333333334</v>
      </c>
      <c r="L53" s="15">
        <v>15</v>
      </c>
      <c r="M53" s="17">
        <f t="shared" si="39"/>
        <v>1911.0638297872345</v>
      </c>
      <c r="N53" s="17">
        <f t="shared" si="3"/>
        <v>127.40425531914896</v>
      </c>
      <c r="O53" s="18">
        <f t="shared" si="4"/>
        <v>0</v>
      </c>
      <c r="P53" s="19">
        <f t="shared" si="5"/>
        <v>-5.929078014184384</v>
      </c>
      <c r="Q53" s="20">
        <f t="shared" si="6"/>
        <v>0.95553191489361711</v>
      </c>
      <c r="R53" s="170"/>
      <c r="S53" s="27">
        <v>0.7993055555555556</v>
      </c>
      <c r="T53" s="27">
        <v>0.83194444444444449</v>
      </c>
      <c r="U53" s="4">
        <f t="shared" si="38"/>
        <v>7.9999999999999716</v>
      </c>
      <c r="V53" s="21">
        <f t="shared" si="37"/>
        <v>46.999999999999993</v>
      </c>
      <c r="W53" s="22">
        <f>T53</f>
        <v>0.83194444444444449</v>
      </c>
      <c r="X53" s="22">
        <f>S54</f>
        <v>0.87152777777777779</v>
      </c>
      <c r="Y53" s="25"/>
      <c r="Z53" s="25"/>
      <c r="AA53" s="176"/>
      <c r="AB53" s="177"/>
      <c r="AC53" s="24"/>
      <c r="AD53" s="24"/>
      <c r="AE53" s="18">
        <f t="shared" si="8"/>
        <v>-88.936170212765546</v>
      </c>
      <c r="AF53" s="20">
        <f t="shared" si="9"/>
        <v>0.95553191489361722</v>
      </c>
      <c r="AG53" s="170"/>
    </row>
    <row r="54" spans="1:33" ht="15.75" customHeight="1">
      <c r="A54" s="178" t="s">
        <v>2691</v>
      </c>
      <c r="B54" s="35" t="s">
        <v>78</v>
      </c>
      <c r="C54" s="174" t="s">
        <v>120</v>
      </c>
      <c r="D54" s="175"/>
      <c r="E54" s="35">
        <v>55.56</v>
      </c>
      <c r="F54" s="38">
        <v>1399</v>
      </c>
      <c r="G54" s="4">
        <f t="shared" si="35"/>
        <v>77728.44</v>
      </c>
      <c r="H54" s="21" t="s">
        <v>133</v>
      </c>
      <c r="I54" s="15">
        <v>17</v>
      </c>
      <c r="J54" s="17">
        <v>2000</v>
      </c>
      <c r="K54" s="16">
        <f t="shared" si="1"/>
        <v>117.64705882352941</v>
      </c>
      <c r="L54" s="15">
        <v>17</v>
      </c>
      <c r="M54" s="17">
        <f t="shared" si="39"/>
        <v>1907.7272727272727</v>
      </c>
      <c r="N54" s="17">
        <f t="shared" si="3"/>
        <v>112.2192513368984</v>
      </c>
      <c r="O54" s="18">
        <f t="shared" si="4"/>
        <v>0</v>
      </c>
      <c r="P54" s="19">
        <f t="shared" si="5"/>
        <v>-5.4278074866310106</v>
      </c>
      <c r="Q54" s="20">
        <f t="shared" si="6"/>
        <v>0.95386363636363636</v>
      </c>
      <c r="R54" s="170"/>
      <c r="S54" s="27">
        <v>0.87152777777777779</v>
      </c>
      <c r="T54" s="27">
        <v>0.90208333333333335</v>
      </c>
      <c r="U54" s="4">
        <f t="shared" si="38"/>
        <v>56.999999999999957</v>
      </c>
      <c r="V54" s="21">
        <f t="shared" si="37"/>
        <v>44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-92.272727272727252</v>
      </c>
      <c r="AF54" s="20">
        <f t="shared" si="9"/>
        <v>0.95386363636363636</v>
      </c>
      <c r="AG54" s="170"/>
    </row>
    <row r="55" spans="1:33">
      <c r="A55" s="179" t="s">
        <v>2691</v>
      </c>
      <c r="B55" s="35" t="s">
        <v>2686</v>
      </c>
      <c r="C55" s="171"/>
      <c r="D55" s="171"/>
      <c r="E55" s="36"/>
      <c r="F55" s="16"/>
      <c r="G55" s="16"/>
      <c r="H55" s="4"/>
      <c r="I55" s="29">
        <v>18.625</v>
      </c>
      <c r="J55" s="17">
        <v>1937.5</v>
      </c>
      <c r="K55" s="16">
        <f t="shared" si="1"/>
        <v>104.02684563758389</v>
      </c>
      <c r="L55" s="29">
        <v>18.625</v>
      </c>
      <c r="M55" s="17">
        <f>AVERAGE(M47:M54)</f>
        <v>1853.4983690801728</v>
      </c>
      <c r="N55" s="16">
        <f t="shared" si="3"/>
        <v>99.516690957324712</v>
      </c>
      <c r="O55" s="18">
        <f t="shared" si="4"/>
        <v>0</v>
      </c>
      <c r="P55" s="19">
        <f t="shared" si="5"/>
        <v>-4.510154680259177</v>
      </c>
      <c r="Q55" s="20">
        <f t="shared" si="6"/>
        <v>0.95664431952525053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v>8</v>
      </c>
      <c r="AD55" s="30">
        <f>SUM(AD47:AD54)</f>
        <v>0</v>
      </c>
      <c r="AE55" s="18">
        <f>M55-J55</f>
        <v>-84.001630919827221</v>
      </c>
      <c r="AF55" s="20">
        <f t="shared" si="9"/>
        <v>0.95664431952525042</v>
      </c>
      <c r="AG55" s="170"/>
    </row>
    <row r="56" spans="1:33" ht="15.75" customHeight="1">
      <c r="A56" s="172" t="s">
        <v>2692</v>
      </c>
      <c r="B56" s="4" t="s">
        <v>108</v>
      </c>
      <c r="C56" s="163" t="s">
        <v>125</v>
      </c>
      <c r="D56" s="163"/>
      <c r="E56" s="35">
        <v>37.85</v>
      </c>
      <c r="F56" s="38">
        <v>1678</v>
      </c>
      <c r="G56" s="4">
        <f t="shared" ref="G56:G60" si="40">E56*F56</f>
        <v>63512.3</v>
      </c>
      <c r="H56" s="21" t="s">
        <v>133</v>
      </c>
      <c r="I56" s="15">
        <v>12</v>
      </c>
      <c r="J56" s="17">
        <v>2000</v>
      </c>
      <c r="K56" s="16">
        <f t="shared" si="1"/>
        <v>166.66666666666666</v>
      </c>
      <c r="L56" s="15">
        <v>12</v>
      </c>
      <c r="M56" s="17">
        <f t="shared" ref="M56:M60" si="41">F56/V56*60</f>
        <v>1936.1538461538455</v>
      </c>
      <c r="N56" s="16">
        <f t="shared" si="3"/>
        <v>161.34615384615378</v>
      </c>
      <c r="O56" s="18">
        <f t="shared" si="4"/>
        <v>0</v>
      </c>
      <c r="P56" s="19">
        <f t="shared" si="5"/>
        <v>-5.3205128205128744</v>
      </c>
      <c r="Q56" s="20">
        <f t="shared" si="6"/>
        <v>0.96807692307692272</v>
      </c>
      <c r="R56" s="170">
        <f>Q61</f>
        <v>0.96366578659558666</v>
      </c>
      <c r="S56" s="27">
        <v>0.20833333333333334</v>
      </c>
      <c r="T56" s="27">
        <v>0.24444444444444446</v>
      </c>
      <c r="U56" s="4"/>
      <c r="V56" s="21">
        <f t="shared" ref="V56:V60" si="42">(T56-S56)*24*60</f>
        <v>52.000000000000014</v>
      </c>
      <c r="W56" s="27"/>
      <c r="X56" s="27"/>
      <c r="Y56" s="27"/>
      <c r="Z56" s="27"/>
      <c r="AA56" s="162"/>
      <c r="AB56" s="162"/>
      <c r="AC56" s="24">
        <v>5</v>
      </c>
      <c r="AD56" s="24"/>
      <c r="AE56" s="18">
        <f t="shared" ref="AE56:AE68" si="43">M56-J56</f>
        <v>-63.846153846154493</v>
      </c>
      <c r="AF56" s="20">
        <f t="shared" si="9"/>
        <v>0.96807692307692272</v>
      </c>
      <c r="AG56" s="170">
        <f>AF61</f>
        <v>0.96366578659558677</v>
      </c>
    </row>
    <row r="57" spans="1:33" ht="15.75" customHeight="1">
      <c r="A57" s="172" t="s">
        <v>2692</v>
      </c>
      <c r="B57" s="4" t="s">
        <v>108</v>
      </c>
      <c r="C57" s="163" t="s">
        <v>126</v>
      </c>
      <c r="D57" s="163"/>
      <c r="E57" s="35">
        <v>34.36</v>
      </c>
      <c r="F57" s="38">
        <v>2312</v>
      </c>
      <c r="G57" s="4">
        <f t="shared" si="40"/>
        <v>79440.319999999992</v>
      </c>
      <c r="H57" s="21" t="s">
        <v>133</v>
      </c>
      <c r="I57" s="15">
        <v>10</v>
      </c>
      <c r="J57" s="17">
        <v>3000</v>
      </c>
      <c r="K57" s="16">
        <f t="shared" si="1"/>
        <v>300</v>
      </c>
      <c r="L57" s="15">
        <v>10</v>
      </c>
      <c r="M57" s="17">
        <f t="shared" si="41"/>
        <v>2889.9999999999982</v>
      </c>
      <c r="N57" s="16">
        <f t="shared" si="3"/>
        <v>288.99999999999983</v>
      </c>
      <c r="O57" s="18">
        <f t="shared" si="4"/>
        <v>0</v>
      </c>
      <c r="P57" s="19">
        <f t="shared" si="5"/>
        <v>-11.000000000000171</v>
      </c>
      <c r="Q57" s="20">
        <f t="shared" si="6"/>
        <v>0.96333333333333282</v>
      </c>
      <c r="R57" s="170"/>
      <c r="S57" s="27">
        <v>0.24861111111111114</v>
      </c>
      <c r="T57" s="27">
        <v>0.2819444444444445</v>
      </c>
      <c r="U57" s="4">
        <f t="shared" ref="U57:U60" si="44">(S57-T56)*24*60</f>
        <v>6.0000000000000187</v>
      </c>
      <c r="V57" s="21">
        <f t="shared" si="42"/>
        <v>48.000000000000028</v>
      </c>
      <c r="W57" s="4"/>
      <c r="X57" s="4"/>
      <c r="Y57" s="4"/>
      <c r="Z57" s="4"/>
      <c r="AA57" s="162"/>
      <c r="AB57" s="162"/>
      <c r="AC57" s="24"/>
      <c r="AD57" s="24"/>
      <c r="AE57" s="18">
        <f t="shared" si="43"/>
        <v>-110.00000000000182</v>
      </c>
      <c r="AF57" s="20">
        <f t="shared" si="9"/>
        <v>0.96333333333333271</v>
      </c>
      <c r="AG57" s="170"/>
    </row>
    <row r="58" spans="1:33" ht="15.75" customHeight="1">
      <c r="A58" s="172" t="s">
        <v>2692</v>
      </c>
      <c r="B58" s="4" t="s">
        <v>108</v>
      </c>
      <c r="C58" s="163" t="s">
        <v>127</v>
      </c>
      <c r="D58" s="163"/>
      <c r="E58" s="35">
        <v>35.119999999999997</v>
      </c>
      <c r="F58" s="38">
        <v>6108</v>
      </c>
      <c r="G58" s="4">
        <f t="shared" si="40"/>
        <v>214512.96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1"/>
        <v>2863.1249999999995</v>
      </c>
      <c r="N58" s="16">
        <f t="shared" si="3"/>
        <v>286.31249999999994</v>
      </c>
      <c r="O58" s="18">
        <f t="shared" si="4"/>
        <v>0</v>
      </c>
      <c r="P58" s="19">
        <f t="shared" si="5"/>
        <v>-13.687500000000057</v>
      </c>
      <c r="Q58" s="20">
        <f t="shared" si="6"/>
        <v>0.95437499999999986</v>
      </c>
      <c r="R58" s="170"/>
      <c r="S58" s="27">
        <v>0.28541666666666671</v>
      </c>
      <c r="T58" s="27">
        <v>0.37430555555555561</v>
      </c>
      <c r="U58" s="4">
        <f t="shared" si="44"/>
        <v>4.9999999999999822</v>
      </c>
      <c r="V58" s="21">
        <f t="shared" si="42"/>
        <v>128.00000000000003</v>
      </c>
      <c r="W58" s="4"/>
      <c r="X58" s="4"/>
      <c r="Y58" s="4"/>
      <c r="Z58" s="4"/>
      <c r="AA58" s="162"/>
      <c r="AB58" s="162"/>
      <c r="AC58" s="24"/>
      <c r="AD58" s="24"/>
      <c r="AE58" s="18">
        <f t="shared" si="43"/>
        <v>-136.87500000000045</v>
      </c>
      <c r="AF58" s="20">
        <f t="shared" si="9"/>
        <v>0.95437499999999986</v>
      </c>
      <c r="AG58" s="170"/>
    </row>
    <row r="59" spans="1:33" ht="15.75" customHeight="1">
      <c r="A59" s="172" t="s">
        <v>2692</v>
      </c>
      <c r="B59" s="4" t="s">
        <v>108</v>
      </c>
      <c r="C59" s="163" t="s">
        <v>109</v>
      </c>
      <c r="D59" s="163"/>
      <c r="E59" s="35">
        <v>34.36</v>
      </c>
      <c r="F59" s="38">
        <v>1987</v>
      </c>
      <c r="G59" s="4">
        <f t="shared" si="40"/>
        <v>68273.319999999992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1"/>
        <v>2907.8048780487793</v>
      </c>
      <c r="N59" s="16">
        <f t="shared" si="3"/>
        <v>290.78048780487791</v>
      </c>
      <c r="O59" s="18">
        <f t="shared" si="4"/>
        <v>0</v>
      </c>
      <c r="P59" s="19">
        <f t="shared" si="5"/>
        <v>-9.2195121951220926</v>
      </c>
      <c r="Q59" s="20">
        <f t="shared" si="6"/>
        <v>0.96926829268292636</v>
      </c>
      <c r="R59" s="170"/>
      <c r="S59" s="27">
        <v>0.37986111111111115</v>
      </c>
      <c r="T59" s="27">
        <v>0.40833333333333338</v>
      </c>
      <c r="U59" s="4">
        <f t="shared" si="44"/>
        <v>7.9999999999999716</v>
      </c>
      <c r="V59" s="21">
        <f t="shared" si="42"/>
        <v>41.000000000000014</v>
      </c>
      <c r="W59" s="4"/>
      <c r="X59" s="4"/>
      <c r="Y59" s="4"/>
      <c r="Z59" s="4"/>
      <c r="AA59" s="162"/>
      <c r="AB59" s="162"/>
      <c r="AC59" s="24"/>
      <c r="AD59" s="24"/>
      <c r="AE59" s="18">
        <f t="shared" si="43"/>
        <v>-92.195121951220699</v>
      </c>
      <c r="AF59" s="20">
        <f t="shared" si="9"/>
        <v>0.96926829268292647</v>
      </c>
      <c r="AG59" s="170"/>
    </row>
    <row r="60" spans="1:33">
      <c r="A60" s="173" t="s">
        <v>2692</v>
      </c>
      <c r="B60" s="4" t="s">
        <v>108</v>
      </c>
      <c r="C60" s="163" t="s">
        <v>110</v>
      </c>
      <c r="D60" s="163"/>
      <c r="E60" s="35">
        <v>26.78</v>
      </c>
      <c r="F60" s="38">
        <v>2846</v>
      </c>
      <c r="G60" s="4">
        <f t="shared" si="40"/>
        <v>76215.88</v>
      </c>
      <c r="H60" s="21" t="s">
        <v>133</v>
      </c>
      <c r="I60" s="15">
        <v>10</v>
      </c>
      <c r="J60" s="17">
        <v>3000</v>
      </c>
      <c r="K60" s="16">
        <f t="shared" si="1"/>
        <v>300</v>
      </c>
      <c r="L60" s="15">
        <v>10</v>
      </c>
      <c r="M60" s="17">
        <f t="shared" si="41"/>
        <v>2894.2372881355918</v>
      </c>
      <c r="N60" s="16">
        <f t="shared" si="3"/>
        <v>289.42372881355919</v>
      </c>
      <c r="O60" s="18">
        <f t="shared" si="4"/>
        <v>0</v>
      </c>
      <c r="P60" s="19">
        <f t="shared" si="5"/>
        <v>-10.576271186440806</v>
      </c>
      <c r="Q60" s="20">
        <f t="shared" si="6"/>
        <v>0.96474576271186396</v>
      </c>
      <c r="R60" s="170"/>
      <c r="S60" s="27">
        <v>0.41250000000000003</v>
      </c>
      <c r="T60" s="27">
        <v>0.45347222222222228</v>
      </c>
      <c r="U60" s="4">
        <f t="shared" si="44"/>
        <v>5.9999999999999787</v>
      </c>
      <c r="V60" s="21">
        <f t="shared" si="42"/>
        <v>59.000000000000028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-105.76271186440817</v>
      </c>
      <c r="AF60" s="20">
        <f t="shared" si="9"/>
        <v>0.96474576271186396</v>
      </c>
      <c r="AG60" s="170"/>
    </row>
    <row r="61" spans="1:33">
      <c r="A61" s="173" t="s">
        <v>2692</v>
      </c>
      <c r="B61" s="35" t="s">
        <v>2686</v>
      </c>
      <c r="C61" s="171"/>
      <c r="D61" s="171"/>
      <c r="E61" s="36"/>
      <c r="F61" s="16"/>
      <c r="G61" s="16"/>
      <c r="H61" s="4"/>
      <c r="I61" s="29">
        <v>10.4</v>
      </c>
      <c r="J61" s="17">
        <v>2800</v>
      </c>
      <c r="K61" s="16">
        <f t="shared" si="1"/>
        <v>269.23076923076923</v>
      </c>
      <c r="L61" s="29">
        <v>10.4</v>
      </c>
      <c r="M61" s="17">
        <f>AVERAGE(M56:M60)</f>
        <v>2698.2642024676429</v>
      </c>
      <c r="N61" s="16">
        <f t="shared" si="3"/>
        <v>259.4484810065041</v>
      </c>
      <c r="O61" s="18">
        <f t="shared" si="4"/>
        <v>0</v>
      </c>
      <c r="P61" s="19">
        <f t="shared" si="5"/>
        <v>-9.7822882242651303</v>
      </c>
      <c r="Q61" s="20">
        <f t="shared" si="6"/>
        <v>0.96366578659558666</v>
      </c>
      <c r="R61" s="170"/>
      <c r="S61" s="27"/>
      <c r="T61" s="27"/>
      <c r="U61" s="16"/>
      <c r="V61" s="21"/>
      <c r="W61" s="16"/>
      <c r="X61" s="16"/>
      <c r="Y61" s="30">
        <f>SUM(Y56:Y60)</f>
        <v>0</v>
      </c>
      <c r="Z61" s="30">
        <f>SUM(Z56:Z60)</f>
        <v>0</v>
      </c>
      <c r="AA61" s="166"/>
      <c r="AB61" s="166"/>
      <c r="AC61" s="30">
        <v>5</v>
      </c>
      <c r="AD61" s="30">
        <f>SUM(AD56:AD60)</f>
        <v>0</v>
      </c>
      <c r="AE61" s="18">
        <f t="shared" si="43"/>
        <v>-101.73579753235708</v>
      </c>
      <c r="AF61" s="20">
        <f t="shared" si="9"/>
        <v>0.96366578659558677</v>
      </c>
      <c r="AG61" s="170"/>
    </row>
    <row r="62" spans="1:33" ht="15.75" customHeight="1">
      <c r="A62" s="167" t="s">
        <v>2693</v>
      </c>
      <c r="B62" s="4" t="s">
        <v>97</v>
      </c>
      <c r="C62" s="163" t="s">
        <v>128</v>
      </c>
      <c r="D62" s="163"/>
      <c r="E62" s="35">
        <v>20.2</v>
      </c>
      <c r="F62" s="4">
        <v>2398</v>
      </c>
      <c r="G62" s="4">
        <f t="shared" ref="G62:G67" si="45">E62*F62</f>
        <v>48439.6</v>
      </c>
      <c r="H62" s="21" t="s">
        <v>133</v>
      </c>
      <c r="I62" s="15">
        <v>15</v>
      </c>
      <c r="J62" s="17">
        <v>2400</v>
      </c>
      <c r="K62" s="16">
        <f t="shared" si="1"/>
        <v>160</v>
      </c>
      <c r="L62" s="15">
        <v>15</v>
      </c>
      <c r="M62" s="17">
        <f t="shared" ref="M62:M67" si="46">F62/V62*60</f>
        <v>2283.8095238095243</v>
      </c>
      <c r="N62" s="16">
        <f t="shared" si="3"/>
        <v>152.25396825396828</v>
      </c>
      <c r="O62" s="18">
        <f t="shared" si="4"/>
        <v>0</v>
      </c>
      <c r="P62" s="19">
        <f t="shared" si="5"/>
        <v>-7.7460317460317185</v>
      </c>
      <c r="Q62" s="20">
        <f t="shared" si="6"/>
        <v>0.95158730158730176</v>
      </c>
      <c r="R62" s="170">
        <f>Q68</f>
        <v>0.95273534294835127</v>
      </c>
      <c r="S62" s="27">
        <v>8.3333333333333329E-2</v>
      </c>
      <c r="T62" s="27">
        <v>0.12708333333333333</v>
      </c>
      <c r="U62" s="27"/>
      <c r="V62" s="21">
        <f t="shared" ref="V62:V67" si="47">(T62-S62)*24*60</f>
        <v>62.999999999999986</v>
      </c>
      <c r="W62" s="22">
        <f>T62</f>
        <v>0.12708333333333333</v>
      </c>
      <c r="X62" s="22">
        <f>S63</f>
        <v>0.14583333333333331</v>
      </c>
      <c r="Y62" s="22"/>
      <c r="Z62" s="22"/>
      <c r="AA62" s="162"/>
      <c r="AB62" s="162"/>
      <c r="AC62" s="24">
        <v>6</v>
      </c>
      <c r="AD62" s="24"/>
      <c r="AE62" s="18">
        <f t="shared" si="43"/>
        <v>-116.19047619047569</v>
      </c>
      <c r="AF62" s="20">
        <f t="shared" si="9"/>
        <v>0.95158730158730176</v>
      </c>
      <c r="AG62" s="170">
        <f>AF68</f>
        <v>0.95273534294835127</v>
      </c>
    </row>
    <row r="63" spans="1:33" ht="15.75" customHeight="1">
      <c r="A63" s="168" t="s">
        <v>2693</v>
      </c>
      <c r="B63" s="4" t="s">
        <v>97</v>
      </c>
      <c r="C63" s="163" t="s">
        <v>129</v>
      </c>
      <c r="D63" s="163"/>
      <c r="E63" s="35">
        <v>24.45</v>
      </c>
      <c r="F63" s="4">
        <v>3277</v>
      </c>
      <c r="G63" s="4">
        <f t="shared" si="45"/>
        <v>80122.649999999994</v>
      </c>
      <c r="H63" s="21" t="s">
        <v>133</v>
      </c>
      <c r="I63" s="15">
        <v>19</v>
      </c>
      <c r="J63" s="17">
        <v>2400</v>
      </c>
      <c r="K63" s="16">
        <f t="shared" si="1"/>
        <v>126.31578947368421</v>
      </c>
      <c r="L63" s="15">
        <v>19</v>
      </c>
      <c r="M63" s="17">
        <f t="shared" si="46"/>
        <v>2286.2790697674413</v>
      </c>
      <c r="N63" s="16">
        <f t="shared" si="3"/>
        <v>120.33047735618112</v>
      </c>
      <c r="O63" s="18">
        <f t="shared" si="4"/>
        <v>0</v>
      </c>
      <c r="P63" s="19">
        <f t="shared" si="5"/>
        <v>-5.985312117503085</v>
      </c>
      <c r="Q63" s="20">
        <f t="shared" si="6"/>
        <v>0.9526162790697672</v>
      </c>
      <c r="R63" s="170"/>
      <c r="S63" s="27">
        <v>0.14583333333333331</v>
      </c>
      <c r="T63" s="27">
        <v>0.20555555555555555</v>
      </c>
      <c r="U63" s="4">
        <f t="shared" ref="U63:U67" si="48">(S63-T62)*24*60</f>
        <v>26.999999999999986</v>
      </c>
      <c r="V63" s="21">
        <f t="shared" si="47"/>
        <v>86.000000000000014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-113.72093023255866</v>
      </c>
      <c r="AF63" s="20">
        <f t="shared" si="9"/>
        <v>0.9526162790697672</v>
      </c>
      <c r="AG63" s="170"/>
    </row>
    <row r="64" spans="1:33" ht="15.75" customHeight="1">
      <c r="A64" s="168" t="s">
        <v>2693</v>
      </c>
      <c r="B64" s="4" t="s">
        <v>97</v>
      </c>
      <c r="C64" s="163" t="s">
        <v>106</v>
      </c>
      <c r="D64" s="163"/>
      <c r="E64" s="35">
        <v>20.21</v>
      </c>
      <c r="F64" s="4">
        <v>2969</v>
      </c>
      <c r="G64" s="4">
        <f t="shared" si="45"/>
        <v>60003.490000000005</v>
      </c>
      <c r="H64" s="21" t="s">
        <v>133</v>
      </c>
      <c r="I64" s="15">
        <v>15</v>
      </c>
      <c r="J64" s="17">
        <v>2400</v>
      </c>
      <c r="K64" s="16">
        <f t="shared" si="1"/>
        <v>160</v>
      </c>
      <c r="L64" s="15">
        <v>15</v>
      </c>
      <c r="M64" s="17">
        <f t="shared" si="46"/>
        <v>2283.8461538461538</v>
      </c>
      <c r="N64" s="16">
        <f t="shared" si="3"/>
        <v>152.25641025641025</v>
      </c>
      <c r="O64" s="18">
        <f t="shared" si="4"/>
        <v>0</v>
      </c>
      <c r="P64" s="19">
        <f t="shared" si="5"/>
        <v>-7.7435897435897516</v>
      </c>
      <c r="Q64" s="20">
        <f t="shared" si="6"/>
        <v>0.95160256410256405</v>
      </c>
      <c r="R64" s="170"/>
      <c r="S64" s="27">
        <v>0.20972222222222223</v>
      </c>
      <c r="T64" s="27">
        <v>0.2638888888888889</v>
      </c>
      <c r="U64" s="4">
        <f t="shared" si="48"/>
        <v>6.0000000000000187</v>
      </c>
      <c r="V64" s="21">
        <f t="shared" si="47"/>
        <v>78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3"/>
        <v>-116.15384615384619</v>
      </c>
      <c r="AF64" s="20">
        <f t="shared" si="9"/>
        <v>0.95160256410256405</v>
      </c>
      <c r="AG64" s="170"/>
    </row>
    <row r="65" spans="1:33" ht="15.75" customHeight="1">
      <c r="A65" s="168" t="s">
        <v>2693</v>
      </c>
      <c r="B65" s="4" t="s">
        <v>97</v>
      </c>
      <c r="C65" s="163" t="s">
        <v>130</v>
      </c>
      <c r="D65" s="163"/>
      <c r="E65" s="35">
        <v>24.43</v>
      </c>
      <c r="F65" s="4">
        <v>7249</v>
      </c>
      <c r="G65" s="4">
        <f t="shared" si="45"/>
        <v>177093.07</v>
      </c>
      <c r="H65" s="21" t="s">
        <v>133</v>
      </c>
      <c r="I65" s="15">
        <v>14</v>
      </c>
      <c r="J65" s="17">
        <v>2400</v>
      </c>
      <c r="K65" s="16">
        <f t="shared" si="1"/>
        <v>171.42857142857142</v>
      </c>
      <c r="L65" s="15">
        <v>14</v>
      </c>
      <c r="M65" s="17">
        <f t="shared" si="46"/>
        <v>2289.1578947368416</v>
      </c>
      <c r="N65" s="16">
        <f t="shared" si="3"/>
        <v>163.5112781954887</v>
      </c>
      <c r="O65" s="18">
        <f t="shared" si="4"/>
        <v>0</v>
      </c>
      <c r="P65" s="19">
        <f t="shared" si="5"/>
        <v>-7.9172932330827166</v>
      </c>
      <c r="Q65" s="20">
        <f t="shared" si="6"/>
        <v>0.95381578947368417</v>
      </c>
      <c r="R65" s="170"/>
      <c r="S65" s="27">
        <v>0.26805555555555555</v>
      </c>
      <c r="T65" s="27">
        <v>0.4</v>
      </c>
      <c r="U65" s="4">
        <f t="shared" si="48"/>
        <v>5.9999999999999787</v>
      </c>
      <c r="V65" s="21">
        <f t="shared" si="47"/>
        <v>190.00000000000006</v>
      </c>
      <c r="W65" s="22"/>
      <c r="X65" s="22"/>
      <c r="Y65" s="22"/>
      <c r="Z65" s="22"/>
      <c r="AA65" s="162"/>
      <c r="AB65" s="162"/>
      <c r="AC65" s="24"/>
      <c r="AD65" s="24"/>
      <c r="AE65" s="18">
        <f t="shared" si="43"/>
        <v>-110.84210526315837</v>
      </c>
      <c r="AF65" s="20">
        <f t="shared" si="9"/>
        <v>0.95381578947368406</v>
      </c>
      <c r="AG65" s="170"/>
    </row>
    <row r="66" spans="1:33" ht="15.75" customHeight="1">
      <c r="A66" s="168" t="s">
        <v>2693</v>
      </c>
      <c r="B66" s="4" t="s">
        <v>97</v>
      </c>
      <c r="C66" s="163" t="s">
        <v>132</v>
      </c>
      <c r="D66" s="163"/>
      <c r="E66" s="35">
        <v>19.02</v>
      </c>
      <c r="F66" s="4">
        <v>6200</v>
      </c>
      <c r="G66" s="4">
        <f t="shared" si="45"/>
        <v>117924</v>
      </c>
      <c r="H66" s="21">
        <v>2</v>
      </c>
      <c r="I66" s="15">
        <v>14</v>
      </c>
      <c r="J66" s="17">
        <v>2400</v>
      </c>
      <c r="K66" s="16">
        <f t="shared" si="1"/>
        <v>171.42857142857142</v>
      </c>
      <c r="L66" s="15">
        <v>14</v>
      </c>
      <c r="M66" s="17">
        <f t="shared" si="46"/>
        <v>2296.2962962962956</v>
      </c>
      <c r="N66" s="16">
        <f t="shared" si="3"/>
        <v>164.02116402116397</v>
      </c>
      <c r="O66" s="18">
        <f t="shared" si="4"/>
        <v>0</v>
      </c>
      <c r="P66" s="19">
        <f t="shared" si="5"/>
        <v>-7.4074074074074474</v>
      </c>
      <c r="Q66" s="20">
        <f t="shared" si="6"/>
        <v>0.95679012345678993</v>
      </c>
      <c r="R66" s="170"/>
      <c r="S66" s="27">
        <v>0.40486111111111112</v>
      </c>
      <c r="T66" s="27">
        <v>0.51736111111111116</v>
      </c>
      <c r="U66" s="4">
        <f t="shared" si="48"/>
        <v>6.9999999999999751</v>
      </c>
      <c r="V66" s="21">
        <f t="shared" si="47"/>
        <v>162.00000000000006</v>
      </c>
      <c r="W66" s="22">
        <f>T66</f>
        <v>0.51736111111111116</v>
      </c>
      <c r="X66" s="22">
        <f>S67</f>
        <v>0.55763888888888891</v>
      </c>
      <c r="Y66" s="22"/>
      <c r="Z66" s="22"/>
      <c r="AA66" s="162"/>
      <c r="AB66" s="162"/>
      <c r="AC66" s="24"/>
      <c r="AD66" s="24"/>
      <c r="AE66" s="18">
        <f t="shared" si="43"/>
        <v>-103.70370370370438</v>
      </c>
      <c r="AF66" s="20">
        <f t="shared" si="9"/>
        <v>0.95679012345678982</v>
      </c>
      <c r="AG66" s="170"/>
    </row>
    <row r="67" spans="1:33" ht="15.75" customHeight="1">
      <c r="A67" s="168" t="s">
        <v>2693</v>
      </c>
      <c r="B67" s="4" t="s">
        <v>97</v>
      </c>
      <c r="C67" s="163" t="s">
        <v>132</v>
      </c>
      <c r="D67" s="163"/>
      <c r="E67" s="35">
        <v>19.02</v>
      </c>
      <c r="F67" s="4">
        <v>3838</v>
      </c>
      <c r="G67" s="4">
        <f t="shared" si="45"/>
        <v>72998.759999999995</v>
      </c>
      <c r="H67" s="21" t="s">
        <v>133</v>
      </c>
      <c r="I67" s="15">
        <v>14</v>
      </c>
      <c r="J67" s="17">
        <v>2400</v>
      </c>
      <c r="K67" s="16">
        <f t="shared" si="1"/>
        <v>171.42857142857142</v>
      </c>
      <c r="L67" s="15">
        <v>14</v>
      </c>
      <c r="M67" s="17">
        <f t="shared" si="46"/>
        <v>2280.0000000000009</v>
      </c>
      <c r="N67" s="16">
        <f t="shared" si="3"/>
        <v>162.85714285714292</v>
      </c>
      <c r="O67" s="18">
        <f t="shared" si="4"/>
        <v>0</v>
      </c>
      <c r="P67" s="19">
        <f t="shared" si="5"/>
        <v>-8.5714285714284983</v>
      </c>
      <c r="Q67" s="20">
        <f t="shared" si="6"/>
        <v>0.9500000000000004</v>
      </c>
      <c r="R67" s="170"/>
      <c r="S67" s="27">
        <v>0.55763888888888891</v>
      </c>
      <c r="T67" s="27">
        <v>0.62777777777777777</v>
      </c>
      <c r="U67" s="4">
        <f t="shared" si="48"/>
        <v>57.999999999999957</v>
      </c>
      <c r="V67" s="21">
        <f t="shared" si="47"/>
        <v>100.99999999999996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3"/>
        <v>-119.99999999999909</v>
      </c>
      <c r="AF67" s="20">
        <f t="shared" si="9"/>
        <v>0.9500000000000004</v>
      </c>
      <c r="AG67" s="170"/>
    </row>
    <row r="68" spans="1:33" ht="16.5" customHeight="1">
      <c r="A68" s="169" t="s">
        <v>2693</v>
      </c>
      <c r="B68" s="35" t="s">
        <v>2686</v>
      </c>
      <c r="C68" s="164"/>
      <c r="D68" s="165"/>
      <c r="E68" s="36"/>
      <c r="F68" s="16"/>
      <c r="G68" s="16"/>
      <c r="H68" s="4"/>
      <c r="I68" s="29">
        <v>15.166666666666666</v>
      </c>
      <c r="J68" s="17">
        <v>2400</v>
      </c>
      <c r="K68" s="16">
        <f t="shared" si="1"/>
        <v>158.24175824175825</v>
      </c>
      <c r="L68" s="29">
        <v>15.166666666666666</v>
      </c>
      <c r="M68" s="17">
        <f>AVERAGE(M62:M67)</f>
        <v>2286.564823076043</v>
      </c>
      <c r="N68" s="16">
        <f t="shared" si="3"/>
        <v>150.76251580721163</v>
      </c>
      <c r="O68" s="18">
        <f t="shared" si="4"/>
        <v>0</v>
      </c>
      <c r="P68" s="19">
        <f t="shared" si="5"/>
        <v>-7.4792424345466202</v>
      </c>
      <c r="Q68" s="20">
        <f t="shared" si="6"/>
        <v>0.95273534294835127</v>
      </c>
      <c r="R68" s="170"/>
      <c r="S68" s="27"/>
      <c r="T68" s="27"/>
      <c r="U68" s="16"/>
      <c r="V68" s="21"/>
      <c r="W68" s="16"/>
      <c r="X68" s="16"/>
      <c r="Y68" s="30">
        <f>SUM(Y62:Y67)</f>
        <v>0</v>
      </c>
      <c r="Z68" s="30">
        <f>SUM(Z62:Z67)</f>
        <v>0</v>
      </c>
      <c r="AA68" s="166"/>
      <c r="AB68" s="166"/>
      <c r="AC68" s="30">
        <v>6</v>
      </c>
      <c r="AD68" s="30">
        <f>SUM(AD62:AD67)</f>
        <v>0</v>
      </c>
      <c r="AE68" s="18">
        <f t="shared" si="43"/>
        <v>-113.43517692395699</v>
      </c>
      <c r="AF68" s="20">
        <f t="shared" si="9"/>
        <v>0.95273534294835127</v>
      </c>
      <c r="AG68" s="170"/>
    </row>
    <row r="69" spans="1:33">
      <c r="D69" s="41"/>
      <c r="E69" s="41"/>
    </row>
  </sheetData>
  <mergeCells count="189">
    <mergeCell ref="A62:A68"/>
    <mergeCell ref="C62:D62"/>
    <mergeCell ref="R62:R68"/>
    <mergeCell ref="AA62:AB62"/>
    <mergeCell ref="AG62:AG68"/>
    <mergeCell ref="C63:D63"/>
    <mergeCell ref="AA63:AB63"/>
    <mergeCell ref="C64:D64"/>
    <mergeCell ref="AA64:AB64"/>
    <mergeCell ref="C65:D65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A65:AB65"/>
    <mergeCell ref="C66:D66"/>
    <mergeCell ref="AA66:AB66"/>
    <mergeCell ref="C67:D67"/>
    <mergeCell ref="AA67:AB67"/>
    <mergeCell ref="C68:D68"/>
    <mergeCell ref="AA68:AB68"/>
    <mergeCell ref="A56:A61"/>
    <mergeCell ref="C56:D56"/>
    <mergeCell ref="R56:R61"/>
    <mergeCell ref="AA56:AB56"/>
    <mergeCell ref="AA61:AB61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47:AG55"/>
    <mergeCell ref="C48:D48"/>
    <mergeCell ref="AA48:AB48"/>
    <mergeCell ref="C49:D49"/>
    <mergeCell ref="AA49:AB49"/>
    <mergeCell ref="AA50:AB50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41:A46"/>
    <mergeCell ref="C41:D41"/>
    <mergeCell ref="R41:R46"/>
    <mergeCell ref="AA41:AB41"/>
    <mergeCell ref="AG41:AG46"/>
    <mergeCell ref="C42:D42"/>
    <mergeCell ref="AA42:AB42"/>
    <mergeCell ref="C43:D43"/>
    <mergeCell ref="AA43:AB43"/>
    <mergeCell ref="A33:A40"/>
    <mergeCell ref="C33:D33"/>
    <mergeCell ref="R33:R40"/>
    <mergeCell ref="AA33:AB33"/>
    <mergeCell ref="AA38:AB38"/>
    <mergeCell ref="C39:D39"/>
    <mergeCell ref="AA39:AB39"/>
    <mergeCell ref="C40:D40"/>
    <mergeCell ref="AA40:AB40"/>
    <mergeCell ref="AA30:AB30"/>
    <mergeCell ref="C31:D31"/>
    <mergeCell ref="AA31:AB31"/>
    <mergeCell ref="AA25:AB25"/>
    <mergeCell ref="A26:A32"/>
    <mergeCell ref="C26:D26"/>
    <mergeCell ref="R26:R32"/>
    <mergeCell ref="AA26:AB26"/>
    <mergeCell ref="C32:D32"/>
    <mergeCell ref="AA32:AB32"/>
    <mergeCell ref="A19:A25"/>
    <mergeCell ref="C19:D19"/>
    <mergeCell ref="R19:R25"/>
    <mergeCell ref="AA19:AB19"/>
    <mergeCell ref="AA24:AB24"/>
    <mergeCell ref="C25:D25"/>
    <mergeCell ref="AG26:AG32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C30:D30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8">
    <cfRule type="cellIs" dxfId="258" priority="9" operator="greaterThan">
      <formula>0</formula>
    </cfRule>
  </conditionalFormatting>
  <conditionalFormatting sqref="P5:P68">
    <cfRule type="cellIs" dxfId="257" priority="1" operator="lessThan">
      <formula>0</formula>
    </cfRule>
  </conditionalFormatting>
  <conditionalFormatting sqref="Q5:Q68 AF5:AF68">
    <cfRule type="cellIs" dxfId="256" priority="10" operator="greaterThan">
      <formula>1</formula>
    </cfRule>
    <cfRule type="cellIs" dxfId="255" priority="11" operator="lessThan">
      <formula>0.8</formula>
    </cfRule>
  </conditionalFormatting>
  <conditionalFormatting sqref="R5:R10 AG5:AG10">
    <cfRule type="cellIs" dxfId="254" priority="47" operator="lessThan">
      <formula>0.8</formula>
    </cfRule>
  </conditionalFormatting>
  <conditionalFormatting sqref="AE5:AE68">
    <cfRule type="cellIs" dxfId="253" priority="12" operator="lessThan">
      <formula>0</formula>
    </cfRule>
  </conditionalFormatting>
  <conditionalFormatting sqref="AG14:AG59 R14:R68">
    <cfRule type="cellIs" dxfId="252" priority="13" operator="lessThan">
      <formula>0.8</formula>
    </cfRule>
  </conditionalFormatting>
  <dataValidations count="1">
    <dataValidation type="list" allowBlank="1" showInputMessage="1" showErrorMessage="1" sqref="AB9 AA5:AB8 AB60 AB11:AB56 AA9:AA60 AA61:AB68" xr:uid="{00000000-0002-0000-0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2"/>
  <sheetViews>
    <sheetView zoomScale="85" zoomScaleNormal="85" workbookViewId="0">
      <selection activeCell="L9" sqref="L9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2495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2496</v>
      </c>
      <c r="C3" s="151" t="str">
        <f>TEXT('0329 4度C'!A2,"yyyy.mm.ddaaaa")</f>
        <v>2026.03.29星期日</v>
      </c>
      <c r="D3" s="152"/>
      <c r="E3" s="45" t="s">
        <v>2497</v>
      </c>
      <c r="F3" s="153">
        <f>'0329 4度C'!D1</f>
        <v>182495</v>
      </c>
      <c r="G3" s="154"/>
      <c r="H3" s="45" t="s">
        <v>2498</v>
      </c>
      <c r="I3" s="155">
        <f>'0329 4度C'!F1</f>
        <v>6071846.3200000022</v>
      </c>
      <c r="J3" s="156"/>
      <c r="K3" s="46"/>
      <c r="L3" s="47"/>
      <c r="M3" s="47"/>
      <c r="N3" s="47"/>
    </row>
    <row r="4" spans="2:17" ht="28.5" customHeight="1">
      <c r="B4" s="157" t="s">
        <v>2499</v>
      </c>
      <c r="C4" s="143" t="s">
        <v>2500</v>
      </c>
      <c r="D4" s="144"/>
      <c r="E4" s="160" t="s">
        <v>2501</v>
      </c>
      <c r="F4" s="161"/>
      <c r="G4" s="160" t="s">
        <v>2502</v>
      </c>
      <c r="H4" s="161"/>
      <c r="I4" s="160" t="s">
        <v>2503</v>
      </c>
      <c r="J4" s="161"/>
      <c r="K4" s="141" t="s">
        <v>2504</v>
      </c>
      <c r="L4" s="142"/>
      <c r="M4" s="142" t="s">
        <v>2505</v>
      </c>
      <c r="N4" s="142"/>
    </row>
    <row r="5" spans="2:17" ht="28.5" customHeight="1">
      <c r="B5" s="158"/>
      <c r="C5" s="143" t="s">
        <v>2506</v>
      </c>
      <c r="D5" s="144"/>
      <c r="E5" s="143" t="s">
        <v>2507</v>
      </c>
      <c r="F5" s="144"/>
      <c r="G5" s="145" t="s">
        <v>2508</v>
      </c>
      <c r="H5" s="146"/>
      <c r="I5" s="147" t="s">
        <v>2509</v>
      </c>
      <c r="J5" s="148"/>
      <c r="K5" s="48" t="s">
        <v>2510</v>
      </c>
      <c r="L5" s="49" t="s">
        <v>2511</v>
      </c>
      <c r="M5" s="48" t="s">
        <v>2510</v>
      </c>
      <c r="N5" s="49" t="s">
        <v>2512</v>
      </c>
    </row>
    <row r="6" spans="2:17" ht="28.5" customHeight="1">
      <c r="B6" s="158"/>
      <c r="C6" s="143" t="s">
        <v>153</v>
      </c>
      <c r="D6" s="144"/>
      <c r="E6" s="135">
        <f>AVERAGE(D13:M13)</f>
        <v>156.55073200897564</v>
      </c>
      <c r="F6" s="136">
        <f>AVERAGE(D31:O31,D13:J13)</f>
        <v>162.73338481658999</v>
      </c>
      <c r="G6" s="137">
        <f>AVERAGE(D13:J13)</f>
        <v>162.73338481658999</v>
      </c>
      <c r="H6" s="138"/>
      <c r="I6" s="137">
        <f>AVERAGE(K13:M13)</f>
        <v>142.12454212454213</v>
      </c>
      <c r="J6" s="138"/>
      <c r="K6" s="139">
        <f>'0329 4度C'!Y2</f>
        <v>0</v>
      </c>
      <c r="L6" s="124">
        <f>'0329 4度C'!Z2</f>
        <v>0</v>
      </c>
      <c r="M6" s="140">
        <f>'0329 4度C'!AC2</f>
        <v>59</v>
      </c>
      <c r="N6" s="124">
        <f>'0329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149.98134529890933</v>
      </c>
      <c r="F7" s="128">
        <f>AVERAGE(D32:O32,D14:J14)</f>
        <v>155.91748328030525</v>
      </c>
      <c r="G7" s="129">
        <f>AVERAGE(D14:J14)</f>
        <v>155.91748328030525</v>
      </c>
      <c r="H7" s="130"/>
      <c r="I7" s="129">
        <f>AVERAGE(K14:M14)</f>
        <v>136.13035667565217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0.95729894422024309</v>
      </c>
      <c r="F8" s="132">
        <f>AVERAGE(D15:J15,D33:O33)</f>
        <v>0.9570732881066133</v>
      </c>
      <c r="G8" s="133">
        <f>AVERAGE(D15:J15)</f>
        <v>0.9570732881066133</v>
      </c>
      <c r="H8" s="134"/>
      <c r="I8" s="133">
        <f>AVERAGE(K15:M15)</f>
        <v>0.95782547515204575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2513</v>
      </c>
      <c r="N9" s="47"/>
      <c r="O9" s="47"/>
      <c r="P9" s="47"/>
      <c r="Q9" s="47"/>
    </row>
    <row r="10" spans="2:17" ht="30" customHeight="1">
      <c r="B10" s="107" t="s">
        <v>2514</v>
      </c>
      <c r="C10" s="108"/>
      <c r="D10" s="109" t="s">
        <v>2515</v>
      </c>
      <c r="E10" s="110"/>
      <c r="F10" s="110"/>
      <c r="G10" s="110"/>
      <c r="H10" s="110"/>
      <c r="I10" s="110"/>
      <c r="J10" s="111"/>
      <c r="K10" s="112" t="s">
        <v>2516</v>
      </c>
      <c r="L10" s="113"/>
      <c r="M10" s="114"/>
      <c r="P10" s="53"/>
      <c r="Q10" s="53"/>
    </row>
    <row r="11" spans="2:17" ht="17.25" customHeight="1">
      <c r="B11" s="115" t="s">
        <v>2517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2518</v>
      </c>
      <c r="C13" s="60" t="s">
        <v>2519</v>
      </c>
      <c r="D13" s="61">
        <f>SUMIFS('0329 4度C'!$K:$K,'0329 4度C'!$A:$A,"新豐6線",'0329 4度C'!$B:$B,"平均")</f>
        <v>111.11111111111111</v>
      </c>
      <c r="E13" s="62">
        <f>SUMIFS('0329 4度C'!$K:$K,'0329 4度C'!$A:$A,"新豐2線",'0329 4度C'!$B:$B,"平均")</f>
        <v>84.905660377358487</v>
      </c>
      <c r="F13" s="63">
        <f>SUMIFS('0329 4度C'!$K:$K,'0329 4度C'!$A:$A,"新豐5線",'0329 4度C'!$B:$B,"平均")</f>
        <v>107.95454545454544</v>
      </c>
      <c r="G13" s="63">
        <f>SUMIFS('0329 4度C'!$K:$K,'0329 4度C'!$A:$A,"新豐7線",'0329 4度C'!$B:$B,"平均")</f>
        <v>128.57142857142858</v>
      </c>
      <c r="H13" s="63">
        <f>SUMIFS('0329 4度C'!$K:$K,'0329 4度C'!$A:$A,"新豐3線",'0329 4度C'!$B:$B,"平均")</f>
        <v>333.33333333333331</v>
      </c>
      <c r="I13" s="63">
        <f>SUMIFS('0329 4度C'!$K:$K,'0329 4度C'!$A:$A,"新豐1線",'0329 4度C'!$B:$B,"平均")</f>
        <v>104.02684563758389</v>
      </c>
      <c r="J13" s="64">
        <f>SUMIFS('0329 4度C'!$K:$K,'0329 4度C'!$A:$A,"新豐10線",'0329 4度C'!$B:$B,"平均")</f>
        <v>269.23076923076923</v>
      </c>
      <c r="K13" s="65">
        <f>SUMIFS('0329 4度C'!$K:$K,'0329 4度C'!$A:$A,"新豐8線",'0329 4度C'!$B:$B,"平均")</f>
        <v>129.23076923076923</v>
      </c>
      <c r="L13" s="66">
        <f>SUMIFS('0329 4度C'!$K:$K,'0329 4度C'!$A:$A,"新豐9線",'0329 4度C'!$B:$B,"平均")</f>
        <v>137.14285714285714</v>
      </c>
      <c r="M13" s="64">
        <f>SUMIFS('0329 4度C'!$K:$K,'0329 4度C'!$A:$A,"新豐4線",'0329 4度C'!$B:$B,"平均")</f>
        <v>160</v>
      </c>
    </row>
    <row r="14" spans="2:17" ht="39.6" customHeight="1">
      <c r="B14" s="120"/>
      <c r="C14" s="67" t="s">
        <v>2520</v>
      </c>
      <c r="D14" s="68">
        <f>SUMIFS('0329 4度C'!$N:$N,'0329 4度C'!$A:$A,"新豐6線",'0329 4度C'!$B:$B,"平均")</f>
        <v>105.60013385218284</v>
      </c>
      <c r="E14" s="69">
        <f>SUMIFS('0329 4度C'!$N:$N,'0329 4度C'!$A:$A,"新豐2線",'0329 4度C'!$B:$B,"平均")</f>
        <v>80.998070290965799</v>
      </c>
      <c r="F14" s="69">
        <f>SUMIFS('0329 4度C'!$N:$N,'0329 4度C'!$A:$A,"新豐5線",'0329 4度C'!$B:$B,"平均")</f>
        <v>103.2380904187588</v>
      </c>
      <c r="G14" s="69">
        <f>SUMIFS('0329 4度C'!$N:$N,'0329 4度C'!$A:$A,"新豐7線",'0329 4度C'!$B:$B,"平均")</f>
        <v>123.53321002245596</v>
      </c>
      <c r="H14" s="69">
        <f>SUMIFS('0329 4度C'!$N:$N,'0329 4度C'!$A:$A,"新豐3線",'0329 4度C'!$B:$B,"平均")</f>
        <v>319.16284973533737</v>
      </c>
      <c r="I14" s="69">
        <f>SUMIFS('0329 4度C'!$N:$N,'0329 4度C'!$A:$A,"新豐1線",'0329 4度C'!$B:$B,"平均")</f>
        <v>99.599829110951305</v>
      </c>
      <c r="J14" s="70">
        <f>SUMIFS('0329 4度C'!$N:$N,'0329 4度C'!$A:$A,"新豐10線",'0329 4度C'!$B:$B,"平均")</f>
        <v>259.29019953148463</v>
      </c>
      <c r="K14" s="71">
        <f>SUMIFS('0329 4度C'!$N:$N,'0329 4度C'!$A:$A,"新豐8線",'0329 4度C'!$B:$B,"平均")</f>
        <v>123.79288431047159</v>
      </c>
      <c r="L14" s="72">
        <f>SUMIFS('0329 4度C'!$N:$N,'0329 4度C'!$A:$A,"新豐9線",'0329 4度C'!$B:$B,"平均")</f>
        <v>131.34397068976477</v>
      </c>
      <c r="M14" s="70">
        <f>SUMIFS('0329 4度C'!$N:$N,'0329 4度C'!$A:$A,"新豐4線",'0329 4度C'!$B:$B,"平均")</f>
        <v>153.25421502672012</v>
      </c>
    </row>
    <row r="15" spans="2:17" ht="40.15" customHeight="1">
      <c r="B15" s="121"/>
      <c r="C15" s="73" t="s">
        <v>2521</v>
      </c>
      <c r="D15" s="74">
        <f t="shared" ref="D15:M15" si="0">D14/D13</f>
        <v>0.95040120466964551</v>
      </c>
      <c r="E15" s="75">
        <f t="shared" si="0"/>
        <v>0.95397727231581941</v>
      </c>
      <c r="F15" s="75">
        <f t="shared" si="0"/>
        <v>0.95631073230008168</v>
      </c>
      <c r="G15" s="75">
        <f t="shared" si="0"/>
        <v>0.96081385573021294</v>
      </c>
      <c r="H15" s="75">
        <f t="shared" si="0"/>
        <v>0.95748854920601223</v>
      </c>
      <c r="I15" s="75">
        <f t="shared" si="0"/>
        <v>0.95744351855043519</v>
      </c>
      <c r="J15" s="76">
        <f t="shared" si="0"/>
        <v>0.96307788397408578</v>
      </c>
      <c r="K15" s="74">
        <f t="shared" si="0"/>
        <v>0.95792112859293499</v>
      </c>
      <c r="L15" s="75">
        <f t="shared" si="0"/>
        <v>0.95771645294620156</v>
      </c>
      <c r="M15" s="76">
        <f t="shared" si="0"/>
        <v>0.95783884391700069</v>
      </c>
    </row>
    <row r="16" spans="2:17" ht="17.25" customHeight="1">
      <c r="B16" s="122" t="s">
        <v>2522</v>
      </c>
      <c r="C16" s="77" t="s">
        <v>2523</v>
      </c>
      <c r="D16" s="78">
        <f>VLOOKUP("新豐6線",'0329 4度C'!$A:$T,19,0)</f>
        <v>0.70833333333333337</v>
      </c>
      <c r="E16" s="79">
        <f>VLOOKUP("新豐2線",'0329 4度C'!$A:$T,19,0)</f>
        <v>0.20833333333333334</v>
      </c>
      <c r="F16" s="79">
        <f>VLOOKUP("新豐5線",'0329 4度C'!$A:$T,19,0)</f>
        <v>0.20833333333333334</v>
      </c>
      <c r="G16" s="79">
        <f>VLOOKUP("新豐7線",'0329 4度C'!$A:$T,19,0)</f>
        <v>0.20833333333333334</v>
      </c>
      <c r="H16" s="79">
        <f>VLOOKUP("新豐3線",'0329 4度C'!$A:$T,19,0)</f>
        <v>8.3333333333333329E-2</v>
      </c>
      <c r="I16" s="79">
        <f>VLOOKUP("新豐1線",'0329 4度C'!$A:$T,19,0)</f>
        <v>0.20833333333333334</v>
      </c>
      <c r="J16" s="80">
        <f>VLOOKUP("新豐10線",'0329 4度C'!$A:$T,19,0)</f>
        <v>0.20833333333333334</v>
      </c>
      <c r="K16" s="81">
        <f>VLOOKUP("新豐8線",'0329 4度C'!$A:$T,19,0)</f>
        <v>8.3333333333333329E-2</v>
      </c>
      <c r="L16" s="82">
        <f>VLOOKUP("新豐9線",'0329 4度C'!$A:$T,19,0)</f>
        <v>8.3333333333333329E-2</v>
      </c>
      <c r="M16" s="83">
        <f>VLOOKUP("新豐4線",'0329 4度C'!$A:$T,19,0)</f>
        <v>8.3333333333333329E-2</v>
      </c>
    </row>
    <row r="17" spans="2:13" ht="17.25" customHeight="1">
      <c r="B17" s="123"/>
      <c r="C17" s="77" t="s">
        <v>2524</v>
      </c>
      <c r="D17" s="81">
        <f>LOOKUP(2,1/(('0329 4度C'!$A:$A="新豐6線")*('0329 4度C'!$T:$T&lt;&gt;"")),'0329 4度C'!$T:$T)</f>
        <v>0.83958333333333324</v>
      </c>
      <c r="E17" s="79">
        <f>LOOKUP(2,1/(('0329 4度C'!$A:$A="新豐2線")*('0329 4度C'!$T:$T&lt;&gt;"")),'0329 4度C'!$T:$T)</f>
        <v>0.6333333333333333</v>
      </c>
      <c r="F17" s="79">
        <f>LOOKUP(2,1/(('0329 4度C'!$A:$A="新豐5線")*('0329 4度C'!$T:$T&lt;&gt;"")),'0329 4度C'!$T:$T)</f>
        <v>0.89513888888888893</v>
      </c>
      <c r="G17" s="79">
        <f>LOOKUP(2,1/(('0329 4度C'!$A:$A="新豐7線")*('0329 4度C'!$T:$T&lt;&gt;"")),'0329 4度C'!$T:$T)</f>
        <v>0.90277777777777779</v>
      </c>
      <c r="H17" s="79">
        <f>LOOKUP(2,1/(('0329 4度C'!$A:$A="新豐3線")*('0329 4度C'!$T:$T&lt;&gt;"")),'0329 4度C'!$T:$T)</f>
        <v>0.49444444444444435</v>
      </c>
      <c r="I17" s="79">
        <f>LOOKUP(2,1/(('0329 4度C'!$A:$A="新豐1線")*('0329 4度C'!$T:$T&lt;&gt;"")),'0329 4度C'!$T:$T)</f>
        <v>0.91666666666666663</v>
      </c>
      <c r="J17" s="80">
        <f>LOOKUP(2,1/(('0329 4度C'!$A:$A="新豐10線")*('0329 4度C'!$T:$T&lt;&gt;"")),'0329 4度C'!$T:$T)</f>
        <v>0.45069444444444445</v>
      </c>
      <c r="K17" s="78">
        <f>LOOKUP(2,1/(('0329 4度C'!$A:$A="新豐8線")*('0329 4度C'!$T:$T&lt;&gt;"")),'0329 4度C'!$T:$T)</f>
        <v>0.67361111111111105</v>
      </c>
      <c r="L17" s="79">
        <f>LOOKUP(2,1/(('0329 4度C'!$A:$A="新豐9線")*('0329 4度C'!$T:$T&lt;&gt;"")),'0329 4度C'!$T:$T)</f>
        <v>0.69999999999999984</v>
      </c>
      <c r="M17" s="80">
        <f>LOOKUP(2,1/(('0329 4度C'!$A:$A="新豐4線")*('0329 4度C'!$T:$T&lt;&gt;"")),'0329 4度C'!$T:$T)</f>
        <v>0.6729166666666665</v>
      </c>
    </row>
    <row r="18" spans="2:13" ht="17.25" customHeight="1">
      <c r="B18" s="101" t="s">
        <v>2525</v>
      </c>
      <c r="C18" s="84" t="s">
        <v>2526</v>
      </c>
      <c r="D18" s="85">
        <f>SUMIFS('0329 4度C'!$Y:$Y,'0329 4度C'!$A:$A,"新豐6線",'0329 4度C'!$B:$B,"平均")</f>
        <v>0</v>
      </c>
      <c r="E18" s="86">
        <f>SUMIFS('0329 4度C'!$Y:$Y,'0329 4度C'!$A:$A,"新豐2線",'0329 4度C'!$B:$B,"平均")</f>
        <v>0</v>
      </c>
      <c r="F18" s="86">
        <f>SUMIFS('0329 4度C'!$Y:$Y,'0329 4度C'!$A:$A,"新豐5線",'0329 4度C'!$B:$B,"平均")</f>
        <v>0</v>
      </c>
      <c r="G18" s="86">
        <f>SUMIFS('0329 4度C'!$Y:$Y,'0329 4度C'!$A:$A,"新豐7線",'0329 4度C'!$B:$B,"平均")</f>
        <v>0</v>
      </c>
      <c r="H18" s="86">
        <f>SUMIFS('0329 4度C'!$Y:$Y,'0329 4度C'!$A:$A,"新豐3線",'0329 4度C'!$B:$B,"平均")</f>
        <v>0</v>
      </c>
      <c r="I18" s="86">
        <f>SUMIFS('0329 4度C'!$Y:$Y,'0329 4度C'!$A:$A,"新豐1線",'0329 4度C'!$B:$B,"平均")</f>
        <v>0</v>
      </c>
      <c r="J18" s="87">
        <f>SUMIFS('0329 4度C'!$Y:$Y,'0329 4度C'!$A:$A,"新豐10線",'0329 4度C'!$B:$B,"平均")</f>
        <v>0</v>
      </c>
      <c r="K18" s="88">
        <f>SUMIFS('0329 4度C'!$Y:$Y,'0329 4度C'!$A:$A,"新豐8線",'0329 4度C'!$B:$B,"平均")</f>
        <v>0</v>
      </c>
      <c r="L18" s="86">
        <f>SUMIFS('0329 4度C'!$Y:$Y,'0329 4度C'!$A:$A,"新豐9線",'0329 4度C'!$B:$B,"平均")</f>
        <v>0</v>
      </c>
      <c r="M18" s="87">
        <f>SUMIFS('0329 4度C'!$Y:$Y,'0329 4度C'!$A:$A,"新豐4線",'0329 4度C'!$B:$B,"平均")</f>
        <v>0</v>
      </c>
    </row>
    <row r="19" spans="2:13" ht="17.25" customHeight="1">
      <c r="B19" s="102"/>
      <c r="C19" s="84" t="s">
        <v>2527</v>
      </c>
      <c r="D19" s="85">
        <f>SUMIFS('0329 4度C'!$Z:$Z,'0329 4度C'!$A:$A,"新豐6線",'0329 4度C'!$B:$B,"平均")</f>
        <v>0</v>
      </c>
      <c r="E19" s="86">
        <f>SUMIFS('0329 4度C'!$Z:$Z,'0329 4度C'!$A:$A,"新豐2線",'0329 4度C'!$B:$B,"平均")</f>
        <v>0</v>
      </c>
      <c r="F19" s="86">
        <f>SUMIFS('0329 4度C'!$Z:$Z,'0329 4度C'!$A:$A,"新豐5線",'0329 4度C'!$B:$B,"平均")</f>
        <v>0</v>
      </c>
      <c r="G19" s="86">
        <f>SUMIFS('0329 4度C'!$Z:$Z,'0329 4度C'!$A:$A,"新豐7線",'0329 4度C'!$B:$B,"平均")</f>
        <v>0</v>
      </c>
      <c r="H19" s="86">
        <f>SUMIFS('0329 4度C'!$Z:$Z,'0329 4度C'!$A:$A,"新豐3線",'0329 4度C'!$B:$B,"平均")</f>
        <v>0</v>
      </c>
      <c r="I19" s="86">
        <f>SUMIFS('0329 4度C'!$Z:$Z,'0329 4度C'!$A:$A,"新豐1線",'0329 4度C'!$B:$B,"平均")</f>
        <v>0</v>
      </c>
      <c r="J19" s="87">
        <f>SUMIFS('0329 4度C'!$Z:$Z,'0329 4度C'!$A:$A,"新豐10線",'0329 4度C'!$B:$B,"平均")</f>
        <v>0</v>
      </c>
      <c r="K19" s="88">
        <f>SUMIFS('0329 4度C'!$Z:$Z,'0329 4度C'!$A:$A,"新豐8線",'0329 4度C'!$B:$B,"平均")</f>
        <v>0</v>
      </c>
      <c r="L19" s="86">
        <f>SUMIFS('0329 4度C'!$Z:$Z,'0329 4度C'!$A:$A,"新豐9線",'0329 4度C'!$B:$B,"平均")</f>
        <v>0</v>
      </c>
      <c r="M19" s="87">
        <f>SUMIFS('0329 4度C'!$Z:$Z,'0329 4度C'!$A:$A,"新豐4線",'0329 4度C'!$B:$B,"平均")</f>
        <v>0</v>
      </c>
    </row>
    <row r="20" spans="2:13" ht="17.25" customHeight="1">
      <c r="B20" s="101" t="s">
        <v>2528</v>
      </c>
      <c r="C20" s="84" t="s">
        <v>2526</v>
      </c>
      <c r="D20" s="85">
        <f>SUMIFS('0329 4度C'!$AC:$AC,'0329 4度C'!$A:$A,"新豐6線",'0329 4度C'!$B:$B,"平均")</f>
        <v>4</v>
      </c>
      <c r="E20" s="86">
        <f>SUMIFS('0329 4度C'!$AC:$AC,'0329 4度C'!$A:$A,"新豐2線",'0329 4度C'!$B:$B,"平均")</f>
        <v>3</v>
      </c>
      <c r="F20" s="86">
        <f>SUMIFS('0329 4度C'!$AC:$AC,'0329 4度C'!$A:$A,"新豐5線",'0329 4度C'!$B:$B,"平均")</f>
        <v>5</v>
      </c>
      <c r="G20" s="86">
        <f>SUMIFS('0329 4度C'!$AC:$AC,'0329 4度C'!$A:$A,"新豐7線",'0329 4度C'!$B:$B,"平均")</f>
        <v>7</v>
      </c>
      <c r="H20" s="86">
        <f>SUMIFS('0329 4度C'!$AC:$AC,'0329 4度C'!$A:$A,"新豐3線",'0329 4度C'!$B:$B,"平均")</f>
        <v>5</v>
      </c>
      <c r="I20" s="86">
        <f>SUMIFS('0329 4度C'!$AC:$AC,'0329 4度C'!$A:$A,"新豐1線",'0329 4度C'!$B:$B,"平均")</f>
        <v>8</v>
      </c>
      <c r="J20" s="87">
        <f>SUMIFS('0329 4度C'!$AC:$AC,'0329 4度C'!$A:$A,"新豐10線",'0329 4度C'!$B:$B,"平均")</f>
        <v>5</v>
      </c>
      <c r="K20" s="88">
        <f>SUMIFS('0329 4度C'!$AC:$AC,'0329 4度C'!$A:$A,"新豐8線",'0329 4度C'!$B:$B,"平均")</f>
        <v>7</v>
      </c>
      <c r="L20" s="86">
        <f>SUMIFS('0329 4度C'!$AC:$AC,'0329 4度C'!$A:$A,"新豐9線",'0329 4度C'!$B:$B,"平均")</f>
        <v>8</v>
      </c>
      <c r="M20" s="87">
        <f>SUMIFS('0329 4度C'!$AC:$AC,'0329 4度C'!$A:$A,"新豐4線",'0329 4度C'!$B:$B,"平均")</f>
        <v>7</v>
      </c>
    </row>
    <row r="21" spans="2:13" ht="17.25" customHeight="1">
      <c r="B21" s="102"/>
      <c r="C21" s="84" t="s">
        <v>2529</v>
      </c>
      <c r="D21" s="85">
        <f>SUMIFS('0329 4度C'!$AD:$AD,'0329 4度C'!$A:$A,"新豐6線",'0329 4度C'!$B:$B,"平均")</f>
        <v>0</v>
      </c>
      <c r="E21" s="86">
        <f>SUMIFS('0329 4度C'!$AD:$AD,'0329 4度C'!$A:$A,"新豐2線",'0329 4度C'!$B:$B,"平均")</f>
        <v>0</v>
      </c>
      <c r="F21" s="86">
        <f>SUMIFS('0329 4度C'!$AD:$AD,'0329 4度C'!$A:$A,"新豐5線",'0329 4度C'!$B:$B,"平均")</f>
        <v>0</v>
      </c>
      <c r="G21" s="86">
        <f>SUMIFS('0329 4度C'!$AD:$AD,'0329 4度C'!$A:$A,"新豐7線",'0329 4度C'!$B:$B,"平均")</f>
        <v>0</v>
      </c>
      <c r="H21" s="86">
        <f>SUMIFS('0329 4度C'!$AD:$AD,'0329 4度C'!$A:$A,"新豐3線",'0329 4度C'!$B:$B,"平均")</f>
        <v>0</v>
      </c>
      <c r="I21" s="86">
        <f>SUMIFS('0329 4度C'!$AD:$AD,'0329 4度C'!$A:$A,"新豐1線",'0329 4度C'!$B:$B,"平均")</f>
        <v>0</v>
      </c>
      <c r="J21" s="87">
        <f>SUMIFS('0329 4度C'!$AD:$AD,'0329 4度C'!$A:$A,"新豐10線",'0329 4度C'!$B:$B,"平均")</f>
        <v>0</v>
      </c>
      <c r="K21" s="88">
        <f>SUMIFS('0329 4度C'!$AD:$AD,'0329 4度C'!$A:$A,"新豐8線",'0329 4度C'!$B:$B,"平均")</f>
        <v>0</v>
      </c>
      <c r="L21" s="86">
        <f>SUMIFS('0329 4度C'!$AD:$AD,'0329 4度C'!$A:$A,"新豐9線",'0329 4度C'!$B:$B,"平均")</f>
        <v>0</v>
      </c>
      <c r="M21" s="87">
        <f>SUMIFS('0329 4度C'!$AD:$AD,'0329 4度C'!$A:$A,"新豐4線",'0329 4度C'!$B:$B,"平均")</f>
        <v>0</v>
      </c>
    </row>
    <row r="22" spans="2:13" ht="17.25" customHeight="1">
      <c r="B22" s="103" t="s">
        <v>2530</v>
      </c>
      <c r="C22" s="104"/>
      <c r="D22" s="89">
        <f>SUMIFS('0329 4度C'!$I:$I,'0329 4度C'!$A:$A,"新豐6線",'0329 4度C'!$B:$B,"平均")</f>
        <v>18</v>
      </c>
      <c r="E22" s="90">
        <f>SUMIFS('0329 4度C'!$I:$I,'0329 4度C'!$A:$A,"新豐2線",'0329 4度C'!$B:$B,"平均")</f>
        <v>17.666666666666668</v>
      </c>
      <c r="F22" s="90">
        <f>SUMIFS('0329 4度C'!$I:$I,'0329 4度C'!$A:$A,"新豐5線",'0329 4度C'!$B:$B,"平均")</f>
        <v>17.600000000000001</v>
      </c>
      <c r="G22" s="90">
        <f>SUMIFS('0329 4度C'!$I:$I,'0329 4度C'!$A:$A,"新豐7線",'0329 4度C'!$B:$B,"平均")</f>
        <v>15</v>
      </c>
      <c r="H22" s="90">
        <f>SUMIFS('0329 4度C'!$I:$I,'0329 4度C'!$A:$A,"新豐3線",'0329 4度C'!$B:$B,"平均")</f>
        <v>9</v>
      </c>
      <c r="I22" s="90">
        <f>SUMIFS('0329 4度C'!$I:$I,'0329 4度C'!$A:$A,"新豐1線",'0329 4度C'!$B:$B,"平均")</f>
        <v>18.625</v>
      </c>
      <c r="J22" s="91">
        <f>SUMIFS('0329 4度C'!$I:$I,'0329 4度C'!$A:$A,"新豐10線",'0329 4度C'!$B:$B,"平均")</f>
        <v>10.4</v>
      </c>
      <c r="K22" s="89">
        <f>SUMIFS('0329 4度C'!$I:$I,'0329 4度C'!$A:$A,"新豐8線",'0329 4度C'!$B:$B,"平均")</f>
        <v>18.571428571428573</v>
      </c>
      <c r="L22" s="90">
        <f>SUMIFS('0329 4度C'!$I:$I,'0329 4度C'!$A:$A,"新豐9線",'0329 4度C'!$B:$B,"平均")</f>
        <v>17.5</v>
      </c>
      <c r="M22" s="91">
        <f>SUMIFS('0329 4度C'!$I:$I,'0329 4度C'!$A:$A,"新豐4線",'0329 4度C'!$B:$B,"平均")</f>
        <v>15</v>
      </c>
    </row>
    <row r="23" spans="2:13" ht="17.25" customHeight="1">
      <c r="B23" s="103" t="s">
        <v>2531</v>
      </c>
      <c r="C23" s="104"/>
      <c r="D23" s="92" t="s">
        <v>185</v>
      </c>
      <c r="E23" s="93" t="s">
        <v>186</v>
      </c>
      <c r="F23" s="93" t="s">
        <v>2532</v>
      </c>
      <c r="G23" s="93" t="s">
        <v>2532</v>
      </c>
      <c r="H23" s="93" t="s">
        <v>188</v>
      </c>
      <c r="I23" s="93" t="s">
        <v>185</v>
      </c>
      <c r="J23" s="94" t="s">
        <v>188</v>
      </c>
      <c r="K23" s="92" t="s">
        <v>2533</v>
      </c>
      <c r="L23" s="93" t="s">
        <v>2533</v>
      </c>
      <c r="M23" s="94" t="s">
        <v>2533</v>
      </c>
    </row>
    <row r="24" spans="2:13" ht="17.25" customHeight="1">
      <c r="B24" s="103" t="s">
        <v>2534</v>
      </c>
      <c r="C24" s="104"/>
      <c r="D24" s="92"/>
      <c r="E24" s="93"/>
      <c r="F24" s="93" t="s">
        <v>2535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2536</v>
      </c>
      <c r="C25" s="106"/>
      <c r="D25" s="95"/>
      <c r="E25" s="96" t="s">
        <v>2537</v>
      </c>
      <c r="F25" s="99" t="s">
        <v>2538</v>
      </c>
      <c r="G25" s="100"/>
      <c r="H25" s="96" t="s">
        <v>2539</v>
      </c>
      <c r="I25" s="96" t="s">
        <v>2540</v>
      </c>
      <c r="J25" s="97" t="s">
        <v>2539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74"/>
  <sheetViews>
    <sheetView zoomScale="80" zoomScaleNormal="80" workbookViewId="0">
      <pane ySplit="4" topLeftCell="A5" activePane="bottomLeft" state="frozen"/>
      <selection activeCell="L9" sqref="L9"/>
      <selection pane="bottomLeft" activeCell="L9" sqref="L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2541</v>
      </c>
      <c r="B1" s="1"/>
      <c r="C1" s="2" t="s">
        <v>2542</v>
      </c>
      <c r="D1" s="3">
        <f>SUM(F5:F73)</f>
        <v>182495</v>
      </c>
      <c r="E1" s="4" t="s">
        <v>2543</v>
      </c>
      <c r="F1" s="1">
        <f>SUM(G5:G73)</f>
        <v>6071846.3200000022</v>
      </c>
      <c r="G1" s="1" t="s">
        <v>2544</v>
      </c>
      <c r="H1" s="5">
        <f>L9+L13+L50+L59+L19+L65+L35+L44+L27+L73</f>
        <v>157.36309523809524</v>
      </c>
      <c r="I1" s="212" t="s">
        <v>2545</v>
      </c>
      <c r="J1" s="212"/>
      <c r="K1" s="212"/>
      <c r="L1" s="212" t="s">
        <v>2546</v>
      </c>
      <c r="M1" s="212"/>
      <c r="N1" s="212"/>
      <c r="O1" s="212" t="s">
        <v>2547</v>
      </c>
      <c r="P1" s="212"/>
      <c r="Q1" s="212"/>
      <c r="R1" s="212"/>
      <c r="S1" s="212" t="s">
        <v>2548</v>
      </c>
      <c r="T1" s="212"/>
      <c r="U1" s="212"/>
      <c r="V1" s="212"/>
      <c r="W1" s="212"/>
      <c r="X1" s="212"/>
      <c r="Y1" s="6" t="s">
        <v>2549</v>
      </c>
      <c r="Z1" s="7" t="s">
        <v>2550</v>
      </c>
      <c r="AA1" s="213" t="s">
        <v>2551</v>
      </c>
      <c r="AB1" s="213"/>
      <c r="AC1" s="42" t="s">
        <v>2549</v>
      </c>
      <c r="AD1" s="7" t="s">
        <v>2552</v>
      </c>
      <c r="AE1" s="212" t="s">
        <v>2553</v>
      </c>
      <c r="AF1" s="214"/>
      <c r="AG1" s="214"/>
    </row>
    <row r="2" spans="1:33" ht="26.25" customHeight="1">
      <c r="A2" s="33">
        <v>46110</v>
      </c>
      <c r="B2" s="34" t="s">
        <v>77</v>
      </c>
      <c r="C2" s="2" t="s">
        <v>2518</v>
      </c>
      <c r="D2" s="9">
        <f>AVERAGE(N9,N13,N50,N59,N19,N65,N27,N35,N44,N73)</f>
        <v>149.98134529890933</v>
      </c>
      <c r="E2" s="10" t="s">
        <v>14</v>
      </c>
      <c r="F2" s="11">
        <f>F1/D1</f>
        <v>33.271302337050344</v>
      </c>
      <c r="G2" s="1" t="s">
        <v>2554</v>
      </c>
      <c r="H2" s="12">
        <f>COUNT(H5:H73)</f>
        <v>11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SUM(Y9+Y13+Y19+Y27+Y35+Y44+Y50+Y59+Y65+Y73)</f>
        <v>0</v>
      </c>
      <c r="Z2" s="13">
        <f>SUM(Z9+Z13+Z19+Z27+Z35+Z44+Z50+Z59+Z65+Z73)</f>
        <v>0</v>
      </c>
      <c r="AA2" s="213"/>
      <c r="AB2" s="213"/>
      <c r="AC2" s="13">
        <v>59</v>
      </c>
      <c r="AD2" s="13">
        <f>SUM(AD9+AD13+AD19+AD27+AD35+AD44+AD50+AD59+AD65+AD73)</f>
        <v>0</v>
      </c>
      <c r="AE2" s="214"/>
      <c r="AF2" s="214"/>
      <c r="AG2" s="214"/>
    </row>
    <row r="3" spans="1:33" ht="40.5" customHeight="1">
      <c r="A3" s="162" t="s">
        <v>2555</v>
      </c>
      <c r="B3" s="162" t="s">
        <v>2556</v>
      </c>
      <c r="C3" s="162" t="s">
        <v>2557</v>
      </c>
      <c r="D3" s="162"/>
      <c r="E3" s="210" t="s">
        <v>2558</v>
      </c>
      <c r="F3" s="162" t="s">
        <v>2559</v>
      </c>
      <c r="G3" s="210" t="s">
        <v>2560</v>
      </c>
      <c r="H3" s="204" t="s">
        <v>1942</v>
      </c>
      <c r="I3" s="202" t="s">
        <v>2561</v>
      </c>
      <c r="J3" s="199" t="s">
        <v>2562</v>
      </c>
      <c r="K3" s="209" t="s">
        <v>2518</v>
      </c>
      <c r="L3" s="202" t="s">
        <v>2563</v>
      </c>
      <c r="M3" s="199" t="s">
        <v>2562</v>
      </c>
      <c r="N3" s="209" t="s">
        <v>2518</v>
      </c>
      <c r="O3" s="202" t="s">
        <v>2563</v>
      </c>
      <c r="P3" s="209" t="s">
        <v>2518</v>
      </c>
      <c r="Q3" s="200" t="s">
        <v>2564</v>
      </c>
      <c r="R3" s="178" t="s">
        <v>2565</v>
      </c>
      <c r="S3" s="162" t="s">
        <v>27</v>
      </c>
      <c r="T3" s="162"/>
      <c r="U3" s="204" t="s">
        <v>28</v>
      </c>
      <c r="V3" s="204" t="s">
        <v>2566</v>
      </c>
      <c r="W3" s="162" t="s">
        <v>2567</v>
      </c>
      <c r="X3" s="162"/>
      <c r="Y3" s="205" t="s">
        <v>31</v>
      </c>
      <c r="Z3" s="166"/>
      <c r="AA3" s="206" t="s">
        <v>2568</v>
      </c>
      <c r="AB3" s="207"/>
      <c r="AC3" s="205" t="s">
        <v>2569</v>
      </c>
      <c r="AD3" s="166"/>
      <c r="AE3" s="199" t="s">
        <v>24</v>
      </c>
      <c r="AF3" s="200" t="s">
        <v>2570</v>
      </c>
      <c r="AG3" s="178" t="s">
        <v>2571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2572</v>
      </c>
      <c r="X4" s="4" t="s">
        <v>2573</v>
      </c>
      <c r="Y4" s="14" t="s">
        <v>2574</v>
      </c>
      <c r="Z4" s="14" t="s">
        <v>2575</v>
      </c>
      <c r="AA4" s="208"/>
      <c r="AB4" s="207"/>
      <c r="AC4" s="14" t="s">
        <v>2576</v>
      </c>
      <c r="AD4" s="14" t="s">
        <v>2577</v>
      </c>
      <c r="AE4" s="199"/>
      <c r="AF4" s="200"/>
      <c r="AG4" s="178"/>
    </row>
    <row r="5" spans="1:33">
      <c r="A5" s="201" t="s">
        <v>2578</v>
      </c>
      <c r="B5" s="35" t="s">
        <v>78</v>
      </c>
      <c r="C5" s="203" t="s">
        <v>79</v>
      </c>
      <c r="D5" s="203"/>
      <c r="E5" s="35">
        <v>50.67</v>
      </c>
      <c r="F5" s="4">
        <v>1748</v>
      </c>
      <c r="G5" s="4">
        <f t="shared" ref="G5:G8" si="0">E5*F5</f>
        <v>88571.16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8" si="2">F5/V5*60</f>
        <v>1906.9090909090921</v>
      </c>
      <c r="N5" s="16">
        <f t="shared" ref="N5:N68" si="3">M5/L5</f>
        <v>112.17112299465248</v>
      </c>
      <c r="O5" s="18">
        <f t="shared" ref="O5:O68" si="4">L5-I5</f>
        <v>0</v>
      </c>
      <c r="P5" s="19">
        <f t="shared" ref="P5:P68" si="5">N5-K5</f>
        <v>-5.4759358288769278</v>
      </c>
      <c r="Q5" s="20">
        <f t="shared" ref="Q5:Q68" si="6">N5/K5</f>
        <v>0.95345454545454611</v>
      </c>
      <c r="R5" s="170">
        <f>Q9</f>
        <v>0.95040120466964551</v>
      </c>
      <c r="S5" s="27">
        <v>0.70833333333333337</v>
      </c>
      <c r="T5" s="27">
        <v>0.74652777777777779</v>
      </c>
      <c r="U5" s="4"/>
      <c r="V5" s="21">
        <f t="shared" ref="V5:V8" si="7">(T5-S5)*24*60</f>
        <v>54.999999999999964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8" si="8">M5-J5</f>
        <v>-93.090909090907871</v>
      </c>
      <c r="AF5" s="20">
        <f t="shared" ref="AF5:AF68" si="9">M5/J5</f>
        <v>0.95345454545454611</v>
      </c>
      <c r="AG5" s="170">
        <f>AF9</f>
        <v>0.95040120466964551</v>
      </c>
    </row>
    <row r="6" spans="1:33">
      <c r="A6" s="202" t="s">
        <v>2578</v>
      </c>
      <c r="B6" s="35" t="s">
        <v>78</v>
      </c>
      <c r="C6" s="203" t="s">
        <v>80</v>
      </c>
      <c r="D6" s="203"/>
      <c r="E6" s="35">
        <v>54.09</v>
      </c>
      <c r="F6" s="4">
        <v>1447</v>
      </c>
      <c r="G6" s="4">
        <f t="shared" si="0"/>
        <v>78268.23000000001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1929.3333333333335</v>
      </c>
      <c r="N6" s="16">
        <f t="shared" si="3"/>
        <v>101.54385964912281</v>
      </c>
      <c r="O6" s="18">
        <f t="shared" si="4"/>
        <v>0</v>
      </c>
      <c r="P6" s="19">
        <f t="shared" si="5"/>
        <v>-3.7192982456140271</v>
      </c>
      <c r="Q6" s="20">
        <f t="shared" si="6"/>
        <v>0.96466666666666678</v>
      </c>
      <c r="R6" s="170"/>
      <c r="S6" s="27">
        <v>0.75</v>
      </c>
      <c r="T6" s="27">
        <v>0.78125</v>
      </c>
      <c r="U6" s="4">
        <f t="shared" ref="U6:U8" si="10">IF(S6=TIME(17,0,0),"",(S6-T5)*24*60)</f>
        <v>4.9999999999999822</v>
      </c>
      <c r="V6" s="21">
        <f t="shared" si="7"/>
        <v>45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-70.666666666666515</v>
      </c>
      <c r="AF6" s="20">
        <f t="shared" si="9"/>
        <v>0.96466666666666678</v>
      </c>
      <c r="AG6" s="170"/>
    </row>
    <row r="7" spans="1:33">
      <c r="A7" s="202" t="s">
        <v>2578</v>
      </c>
      <c r="B7" s="35" t="s">
        <v>78</v>
      </c>
      <c r="C7" s="197" t="s">
        <v>82</v>
      </c>
      <c r="D7" s="198"/>
      <c r="E7" s="35">
        <v>50.67</v>
      </c>
      <c r="F7" s="4">
        <v>369</v>
      </c>
      <c r="G7" s="4">
        <f t="shared" si="0"/>
        <v>18697.23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1844.9999999999818</v>
      </c>
      <c r="N7" s="16">
        <f t="shared" si="3"/>
        <v>87.857142857141994</v>
      </c>
      <c r="O7" s="18">
        <f t="shared" si="4"/>
        <v>0</v>
      </c>
      <c r="P7" s="19">
        <f t="shared" si="5"/>
        <v>-7.3809523809532465</v>
      </c>
      <c r="Q7" s="20">
        <f t="shared" si="6"/>
        <v>0.92249999999999088</v>
      </c>
      <c r="R7" s="170"/>
      <c r="S7" s="27">
        <v>0.78472222222222221</v>
      </c>
      <c r="T7" s="27">
        <v>0.79305555555555562</v>
      </c>
      <c r="U7" s="4">
        <f t="shared" si="10"/>
        <v>4.9999999999999822</v>
      </c>
      <c r="V7" s="21">
        <f t="shared" si="7"/>
        <v>12.000000000000117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-155.00000000001819</v>
      </c>
      <c r="AF7" s="20">
        <f t="shared" si="9"/>
        <v>0.92249999999999088</v>
      </c>
      <c r="AG7" s="170"/>
    </row>
    <row r="8" spans="1:33">
      <c r="A8" s="202" t="s">
        <v>2578</v>
      </c>
      <c r="B8" s="35" t="s">
        <v>78</v>
      </c>
      <c r="C8" s="197" t="s">
        <v>91</v>
      </c>
      <c r="D8" s="198"/>
      <c r="E8" s="35">
        <v>50.67</v>
      </c>
      <c r="F8" s="4">
        <v>1954</v>
      </c>
      <c r="G8" s="4">
        <f t="shared" si="0"/>
        <v>99009.180000000008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1921.9672131147561</v>
      </c>
      <c r="N8" s="16">
        <f t="shared" si="3"/>
        <v>128.13114754098373</v>
      </c>
      <c r="O8" s="18">
        <f t="shared" si="4"/>
        <v>0</v>
      </c>
      <c r="P8" s="19">
        <f t="shared" si="5"/>
        <v>-5.20218579234961</v>
      </c>
      <c r="Q8" s="20">
        <f t="shared" si="6"/>
        <v>0.96098360655737791</v>
      </c>
      <c r="R8" s="170"/>
      <c r="S8" s="27">
        <v>0.79722222222222217</v>
      </c>
      <c r="T8" s="27">
        <v>0.83958333333333324</v>
      </c>
      <c r="U8" s="4">
        <f t="shared" si="10"/>
        <v>5.9999999999998188</v>
      </c>
      <c r="V8" s="21">
        <f t="shared" si="7"/>
        <v>60.999999999999943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-78.032786885243922</v>
      </c>
      <c r="AF8" s="20">
        <f t="shared" si="9"/>
        <v>0.96098360655737802</v>
      </c>
      <c r="AG8" s="170"/>
    </row>
    <row r="9" spans="1:33">
      <c r="A9" s="202" t="s">
        <v>2578</v>
      </c>
      <c r="B9" s="35" t="s">
        <v>2579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1900.802409339291</v>
      </c>
      <c r="N9" s="16">
        <f t="shared" si="3"/>
        <v>105.60013385218284</v>
      </c>
      <c r="O9" s="18">
        <f t="shared" si="4"/>
        <v>0</v>
      </c>
      <c r="P9" s="19">
        <f t="shared" si="5"/>
        <v>-5.5109772589282784</v>
      </c>
      <c r="Q9" s="20">
        <f t="shared" si="6"/>
        <v>0.95040120466964551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-99.197590660709011</v>
      </c>
      <c r="AF9" s="20">
        <f t="shared" si="9"/>
        <v>0.95040120466964551</v>
      </c>
      <c r="AG9" s="170"/>
    </row>
    <row r="10" spans="1:33" ht="15.75" customHeight="1">
      <c r="A10" s="196" t="s">
        <v>2580</v>
      </c>
      <c r="B10" s="35" t="s">
        <v>84</v>
      </c>
      <c r="C10" s="197" t="s">
        <v>85</v>
      </c>
      <c r="D10" s="198"/>
      <c r="E10" s="35">
        <v>39.619999999999997</v>
      </c>
      <c r="F10" s="4">
        <v>5048</v>
      </c>
      <c r="G10" s="4">
        <f t="shared" ref="G10:G12" si="11">E10*F10</f>
        <v>200001.75999999998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1428.6792452830189</v>
      </c>
      <c r="N10" s="16">
        <f t="shared" si="3"/>
        <v>75.193644488579935</v>
      </c>
      <c r="O10" s="18">
        <f t="shared" si="4"/>
        <v>0</v>
      </c>
      <c r="P10" s="19">
        <f t="shared" si="5"/>
        <v>-3.7537239324726954</v>
      </c>
      <c r="Q10" s="20">
        <f t="shared" si="6"/>
        <v>0.95245283018867921</v>
      </c>
      <c r="R10" s="170">
        <f>Q13</f>
        <v>0.95397727231581941</v>
      </c>
      <c r="S10" s="27">
        <v>0.20833333333333334</v>
      </c>
      <c r="T10" s="27">
        <v>0.35555555555555557</v>
      </c>
      <c r="U10" s="4"/>
      <c r="V10" s="21">
        <f t="shared" ref="V10:V12" si="13">(T10-S10)*24*60</f>
        <v>212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-71.320754716981128</v>
      </c>
      <c r="AF10" s="20">
        <f t="shared" si="9"/>
        <v>0.95245283018867921</v>
      </c>
      <c r="AG10" s="170">
        <f>AF13</f>
        <v>0.95397727231581952</v>
      </c>
    </row>
    <row r="11" spans="1:33" ht="15.75" customHeight="1">
      <c r="A11" s="196" t="s">
        <v>2581</v>
      </c>
      <c r="B11" s="35" t="s">
        <v>84</v>
      </c>
      <c r="C11" s="197" t="s">
        <v>86</v>
      </c>
      <c r="D11" s="198"/>
      <c r="E11" s="35">
        <v>39.799999999999997</v>
      </c>
      <c r="F11" s="4">
        <v>4600</v>
      </c>
      <c r="G11" s="4">
        <f t="shared" si="11"/>
        <v>183080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1430.0518134715023</v>
      </c>
      <c r="N11" s="16">
        <f t="shared" si="3"/>
        <v>84.120694910088375</v>
      </c>
      <c r="O11" s="18">
        <f t="shared" si="4"/>
        <v>0</v>
      </c>
      <c r="P11" s="19">
        <f t="shared" si="5"/>
        <v>-4.1145992075586832</v>
      </c>
      <c r="Q11" s="20">
        <f t="shared" si="6"/>
        <v>0.95336787564766823</v>
      </c>
      <c r="R11" s="170"/>
      <c r="S11" s="27">
        <v>0.36041666666666666</v>
      </c>
      <c r="T11" s="27">
        <v>0.49444444444444446</v>
      </c>
      <c r="U11" s="4">
        <f t="shared" ref="U11:U12" si="14">IF(S11=TIME(17,0,0),"",(S11-T10)*24*60)</f>
        <v>6.9999999999999751</v>
      </c>
      <c r="V11" s="21">
        <f t="shared" si="13"/>
        <v>193.00000000000003</v>
      </c>
      <c r="W11" s="22">
        <f>T11</f>
        <v>0.49444444444444446</v>
      </c>
      <c r="X11" s="22">
        <f>S12</f>
        <v>0.53333333333333333</v>
      </c>
      <c r="Y11" s="22"/>
      <c r="Z11" s="22"/>
      <c r="AA11" s="162"/>
      <c r="AB11" s="162"/>
      <c r="AC11" s="24"/>
      <c r="AD11" s="24"/>
      <c r="AE11" s="18">
        <f t="shared" si="8"/>
        <v>-69.948186528497672</v>
      </c>
      <c r="AF11" s="20">
        <f t="shared" si="9"/>
        <v>0.95336787564766823</v>
      </c>
      <c r="AG11" s="170"/>
    </row>
    <row r="12" spans="1:33" ht="15.75" customHeight="1">
      <c r="A12" s="196" t="s">
        <v>2582</v>
      </c>
      <c r="B12" s="35" t="s">
        <v>84</v>
      </c>
      <c r="C12" s="197" t="s">
        <v>86</v>
      </c>
      <c r="D12" s="198"/>
      <c r="E12" s="35">
        <v>39.799999999999997</v>
      </c>
      <c r="F12" s="4">
        <v>3442</v>
      </c>
      <c r="G12" s="4">
        <f t="shared" si="11"/>
        <v>136991.59999999998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1434.166666666667</v>
      </c>
      <c r="N12" s="16">
        <f t="shared" si="3"/>
        <v>84.362745098039227</v>
      </c>
      <c r="O12" s="18">
        <f t="shared" si="4"/>
        <v>0</v>
      </c>
      <c r="P12" s="19">
        <f t="shared" si="5"/>
        <v>-3.8725490196078312</v>
      </c>
      <c r="Q12" s="20">
        <f t="shared" si="6"/>
        <v>0.95611111111111124</v>
      </c>
      <c r="R12" s="170"/>
      <c r="S12" s="27">
        <v>0.53333333333333333</v>
      </c>
      <c r="T12" s="27">
        <v>0.6333333333333333</v>
      </c>
      <c r="U12" s="4">
        <f t="shared" si="14"/>
        <v>55.999999999999957</v>
      </c>
      <c r="V12" s="21">
        <f t="shared" si="13"/>
        <v>143.99999999999997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-65.83333333333303</v>
      </c>
      <c r="AF12" s="20">
        <f t="shared" si="9"/>
        <v>0.95611111111111136</v>
      </c>
      <c r="AG12" s="170"/>
    </row>
    <row r="13" spans="1:33" ht="16.5" customHeight="1">
      <c r="A13" s="196" t="s">
        <v>2583</v>
      </c>
      <c r="B13" s="35" t="s">
        <v>48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1430.9659084737293</v>
      </c>
      <c r="N13" s="16">
        <f t="shared" si="3"/>
        <v>80.998070290965799</v>
      </c>
      <c r="O13" s="18">
        <f t="shared" si="4"/>
        <v>0</v>
      </c>
      <c r="P13" s="19">
        <f t="shared" si="5"/>
        <v>-3.9075900863926876</v>
      </c>
      <c r="Q13" s="20">
        <f t="shared" si="6"/>
        <v>0.95397727231581941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v>3</v>
      </c>
      <c r="AD13" s="30">
        <f>SUM(AD10:AD12)</f>
        <v>0</v>
      </c>
      <c r="AE13" s="18">
        <f t="shared" si="8"/>
        <v>-69.034091526270686</v>
      </c>
      <c r="AF13" s="20">
        <f t="shared" si="9"/>
        <v>0.95397727231581952</v>
      </c>
      <c r="AG13" s="170"/>
    </row>
    <row r="14" spans="1:33" ht="16.5" customHeight="1">
      <c r="A14" s="194" t="s">
        <v>2584</v>
      </c>
      <c r="B14" s="4" t="s">
        <v>87</v>
      </c>
      <c r="C14" s="190" t="s">
        <v>88</v>
      </c>
      <c r="D14" s="190"/>
      <c r="E14" s="35">
        <v>41</v>
      </c>
      <c r="F14" s="4">
        <v>2574</v>
      </c>
      <c r="G14" s="4">
        <f t="shared" ref="G14:G18" si="15">E14*F14</f>
        <v>105534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8" si="16">F14/V14*60</f>
        <v>1430.0000000000005</v>
      </c>
      <c r="N14" s="16">
        <f t="shared" si="3"/>
        <v>55.000000000000014</v>
      </c>
      <c r="O14" s="18">
        <f t="shared" si="4"/>
        <v>0</v>
      </c>
      <c r="P14" s="19">
        <f t="shared" si="5"/>
        <v>-2.6923076923076792</v>
      </c>
      <c r="Q14" s="20">
        <f t="shared" si="6"/>
        <v>0.95333333333333359</v>
      </c>
      <c r="R14" s="170">
        <f>Q19</f>
        <v>0.95631073230008168</v>
      </c>
      <c r="S14" s="27">
        <v>0.20833333333333334</v>
      </c>
      <c r="T14" s="27">
        <v>0.28333333333333333</v>
      </c>
      <c r="U14" s="4"/>
      <c r="V14" s="21">
        <f t="shared" ref="V14:V18" si="17">(T14-S14)*24*60</f>
        <v>107.99999999999997</v>
      </c>
      <c r="W14" s="27"/>
      <c r="X14" s="27"/>
      <c r="Y14" s="27"/>
      <c r="Z14" s="27"/>
      <c r="AA14" s="162"/>
      <c r="AB14" s="162"/>
      <c r="AC14" s="24">
        <v>5</v>
      </c>
      <c r="AD14" s="24"/>
      <c r="AE14" s="18">
        <f t="shared" si="8"/>
        <v>-69.999999999999545</v>
      </c>
      <c r="AF14" s="20">
        <f t="shared" si="9"/>
        <v>0.95333333333333359</v>
      </c>
      <c r="AG14" s="170">
        <f>AF19</f>
        <v>0.95631073230008157</v>
      </c>
    </row>
    <row r="15" spans="1:33" ht="16.5" customHeight="1">
      <c r="A15" s="195" t="s">
        <v>50</v>
      </c>
      <c r="B15" s="4" t="s">
        <v>78</v>
      </c>
      <c r="C15" s="190" t="s">
        <v>89</v>
      </c>
      <c r="D15" s="190"/>
      <c r="E15" s="35">
        <v>50.98</v>
      </c>
      <c r="F15" s="4">
        <v>2893</v>
      </c>
      <c r="G15" s="4">
        <f t="shared" si="15"/>
        <v>147485.13999999998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1907.4725274725274</v>
      </c>
      <c r="N15" s="16">
        <f t="shared" si="3"/>
        <v>119.21703296703296</v>
      </c>
      <c r="O15" s="18">
        <f t="shared" si="4"/>
        <v>0</v>
      </c>
      <c r="P15" s="19">
        <f t="shared" si="5"/>
        <v>-5.7829670329670364</v>
      </c>
      <c r="Q15" s="20">
        <f t="shared" si="6"/>
        <v>0.95373626373626375</v>
      </c>
      <c r="R15" s="170"/>
      <c r="S15" s="27">
        <v>0.70833333333333337</v>
      </c>
      <c r="T15" s="27">
        <v>0.77152777777777781</v>
      </c>
      <c r="U15" s="4" t="str">
        <f t="shared" ref="U15:U18" si="18">IF(S15=TIME(17,0,0),"",(S15-T14)*24*60)</f>
        <v/>
      </c>
      <c r="V15" s="21">
        <f t="shared" si="17"/>
        <v>91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-92.527472527472582</v>
      </c>
      <c r="AF15" s="20">
        <f t="shared" si="9"/>
        <v>0.95373626373626375</v>
      </c>
      <c r="AG15" s="170"/>
    </row>
    <row r="16" spans="1:33" ht="16.5" customHeight="1">
      <c r="A16" s="195" t="s">
        <v>50</v>
      </c>
      <c r="B16" s="4" t="s">
        <v>78</v>
      </c>
      <c r="C16" s="190" t="s">
        <v>83</v>
      </c>
      <c r="D16" s="190"/>
      <c r="E16" s="35">
        <v>50.67</v>
      </c>
      <c r="F16" s="4">
        <v>738</v>
      </c>
      <c r="G16" s="4">
        <f t="shared" si="15"/>
        <v>37394.46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1925.2173913043412</v>
      </c>
      <c r="N16" s="16">
        <f t="shared" si="3"/>
        <v>120.32608695652132</v>
      </c>
      <c r="O16" s="18">
        <f t="shared" si="4"/>
        <v>0</v>
      </c>
      <c r="P16" s="19">
        <f t="shared" si="5"/>
        <v>-4.6739130434786773</v>
      </c>
      <c r="Q16" s="20">
        <f t="shared" si="6"/>
        <v>0.96260869565217055</v>
      </c>
      <c r="R16" s="170"/>
      <c r="S16" s="27">
        <v>0.77638888888888891</v>
      </c>
      <c r="T16" s="27">
        <v>0.79236111111111118</v>
      </c>
      <c r="U16" s="4">
        <f t="shared" si="18"/>
        <v>6.9999999999999751</v>
      </c>
      <c r="V16" s="21">
        <f t="shared" si="17"/>
        <v>23.000000000000078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-74.782608695658837</v>
      </c>
      <c r="AF16" s="20">
        <f t="shared" si="9"/>
        <v>0.96260869565217055</v>
      </c>
      <c r="AG16" s="170"/>
    </row>
    <row r="17" spans="1:33" ht="16.5" customHeight="1">
      <c r="A17" s="195" t="s">
        <v>50</v>
      </c>
      <c r="B17" s="4" t="s">
        <v>78</v>
      </c>
      <c r="C17" s="190" t="s">
        <v>90</v>
      </c>
      <c r="D17" s="190"/>
      <c r="E17" s="35">
        <v>50.92</v>
      </c>
      <c r="F17" s="4">
        <v>1500</v>
      </c>
      <c r="G17" s="4">
        <f t="shared" si="15"/>
        <v>76380</v>
      </c>
      <c r="H17" s="21">
        <v>2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1914.8936170212769</v>
      </c>
      <c r="N17" s="16">
        <f t="shared" si="3"/>
        <v>127.65957446808513</v>
      </c>
      <c r="O17" s="18">
        <f t="shared" si="4"/>
        <v>0</v>
      </c>
      <c r="P17" s="19">
        <f t="shared" si="5"/>
        <v>-5.6737588652482174</v>
      </c>
      <c r="Q17" s="20">
        <f t="shared" si="6"/>
        <v>0.95744680851063835</v>
      </c>
      <c r="R17" s="170"/>
      <c r="S17" s="27">
        <v>0.79791666666666672</v>
      </c>
      <c r="T17" s="27">
        <v>0.8305555555555556</v>
      </c>
      <c r="U17" s="4">
        <f t="shared" si="18"/>
        <v>7.9999999999999716</v>
      </c>
      <c r="V17" s="21">
        <f t="shared" si="17"/>
        <v>46.999999999999993</v>
      </c>
      <c r="W17" s="22">
        <f>T17</f>
        <v>0.8305555555555556</v>
      </c>
      <c r="X17" s="22">
        <f>S18</f>
        <v>0.86875000000000002</v>
      </c>
      <c r="Y17" s="22"/>
      <c r="Z17" s="22"/>
      <c r="AA17" s="162"/>
      <c r="AB17" s="162"/>
      <c r="AC17" s="24"/>
      <c r="AD17" s="24"/>
      <c r="AE17" s="18">
        <f t="shared" si="8"/>
        <v>-85.106382978723104</v>
      </c>
      <c r="AF17" s="20">
        <f t="shared" si="9"/>
        <v>0.95744680851063846</v>
      </c>
      <c r="AG17" s="170"/>
    </row>
    <row r="18" spans="1:33" ht="16.5" customHeight="1">
      <c r="A18" s="195" t="s">
        <v>2585</v>
      </c>
      <c r="B18" s="4" t="s">
        <v>78</v>
      </c>
      <c r="C18" s="190" t="s">
        <v>90</v>
      </c>
      <c r="D18" s="190"/>
      <c r="E18" s="35">
        <v>50.92</v>
      </c>
      <c r="F18" s="4">
        <v>1208</v>
      </c>
      <c r="G18" s="4">
        <f t="shared" si="15"/>
        <v>61511.360000000001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1907.3684210526301</v>
      </c>
      <c r="N18" s="16">
        <f t="shared" si="3"/>
        <v>127.15789473684201</v>
      </c>
      <c r="O18" s="18">
        <f t="shared" si="4"/>
        <v>0</v>
      </c>
      <c r="P18" s="19">
        <f t="shared" si="5"/>
        <v>-6.1754385964913325</v>
      </c>
      <c r="Q18" s="20">
        <f t="shared" si="6"/>
        <v>0.95368421052631502</v>
      </c>
      <c r="R18" s="170"/>
      <c r="S18" s="27">
        <v>0.86875000000000002</v>
      </c>
      <c r="T18" s="27">
        <v>0.89513888888888893</v>
      </c>
      <c r="U18" s="4">
        <f t="shared" si="18"/>
        <v>54.999999999999964</v>
      </c>
      <c r="V18" s="21">
        <f t="shared" si="17"/>
        <v>38.000000000000028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-92.631578947369917</v>
      </c>
      <c r="AF18" s="20">
        <f t="shared" si="9"/>
        <v>0.95368421052631502</v>
      </c>
      <c r="AG18" s="170"/>
    </row>
    <row r="19" spans="1:33" ht="16.5" customHeight="1">
      <c r="A19" s="195" t="s">
        <v>50</v>
      </c>
      <c r="B19" s="35" t="s">
        <v>48</v>
      </c>
      <c r="C19" s="171"/>
      <c r="D19" s="171"/>
      <c r="E19" s="36"/>
      <c r="F19" s="16"/>
      <c r="G19" s="16"/>
      <c r="H19" s="4"/>
      <c r="I19" s="29">
        <v>17.600000000000001</v>
      </c>
      <c r="J19" s="17">
        <v>1900</v>
      </c>
      <c r="K19" s="16">
        <f t="shared" si="1"/>
        <v>107.95454545454544</v>
      </c>
      <c r="L19" s="29">
        <v>17.600000000000001</v>
      </c>
      <c r="M19" s="17">
        <f>AVERAGE(M14:M18)</f>
        <v>1816.9903913701551</v>
      </c>
      <c r="N19" s="16">
        <f t="shared" si="3"/>
        <v>103.2380904187588</v>
      </c>
      <c r="O19" s="18">
        <f t="shared" si="4"/>
        <v>0</v>
      </c>
      <c r="P19" s="19">
        <f t="shared" si="5"/>
        <v>-4.7164550357866375</v>
      </c>
      <c r="Q19" s="20">
        <f t="shared" si="6"/>
        <v>0.95631073230008168</v>
      </c>
      <c r="R19" s="170"/>
      <c r="S19" s="27"/>
      <c r="T19" s="27"/>
      <c r="U19" s="4"/>
      <c r="V19" s="21"/>
      <c r="W19" s="16"/>
      <c r="X19" s="16"/>
      <c r="Y19" s="30">
        <f>SUM(Y14:Y18)</f>
        <v>0</v>
      </c>
      <c r="Z19" s="30">
        <f>SUM(Z14:Z18)</f>
        <v>0</v>
      </c>
      <c r="AA19" s="166"/>
      <c r="AB19" s="166"/>
      <c r="AC19" s="30">
        <v>5</v>
      </c>
      <c r="AD19" s="30">
        <f>SUM(AD14:AD18)</f>
        <v>0</v>
      </c>
      <c r="AE19" s="18">
        <f t="shared" si="8"/>
        <v>-83.009608629844934</v>
      </c>
      <c r="AF19" s="20">
        <f t="shared" si="9"/>
        <v>0.95631073230008157</v>
      </c>
      <c r="AG19" s="170"/>
    </row>
    <row r="20" spans="1:33" ht="15.75" customHeight="1">
      <c r="A20" s="192" t="s">
        <v>52</v>
      </c>
      <c r="B20" s="35" t="s">
        <v>78</v>
      </c>
      <c r="C20" s="190" t="s">
        <v>92</v>
      </c>
      <c r="D20" s="190"/>
      <c r="E20" s="35">
        <v>57.73</v>
      </c>
      <c r="F20" s="4">
        <v>2995</v>
      </c>
      <c r="G20" s="4">
        <f t="shared" ref="G20:G26" si="19">E20*F20</f>
        <v>172901.34999999998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6" si="20">F20/V20*60</f>
        <v>1911.702127659574</v>
      </c>
      <c r="N20" s="16">
        <f t="shared" si="3"/>
        <v>136.55015197568386</v>
      </c>
      <c r="O20" s="18">
        <f t="shared" si="4"/>
        <v>0</v>
      </c>
      <c r="P20" s="19">
        <f t="shared" si="5"/>
        <v>-6.3069908814590008</v>
      </c>
      <c r="Q20" s="20">
        <f t="shared" si="6"/>
        <v>0.95585106382978702</v>
      </c>
      <c r="R20" s="170">
        <f>Q27</f>
        <v>0.96081385573021294</v>
      </c>
      <c r="S20" s="27">
        <v>0.20833333333333334</v>
      </c>
      <c r="T20" s="27">
        <v>0.27361111111111114</v>
      </c>
      <c r="U20" s="4"/>
      <c r="V20" s="21">
        <f t="shared" ref="V20:V26" si="21">(T20-S20)*24*60</f>
        <v>94.000000000000028</v>
      </c>
      <c r="W20" s="27"/>
      <c r="X20" s="27"/>
      <c r="Y20" s="27"/>
      <c r="Z20" s="27"/>
      <c r="AA20" s="162"/>
      <c r="AB20" s="162"/>
      <c r="AC20" s="24">
        <v>7</v>
      </c>
      <c r="AD20" s="24"/>
      <c r="AE20" s="18">
        <f t="shared" si="8"/>
        <v>-88.297872340426011</v>
      </c>
      <c r="AF20" s="20">
        <f t="shared" si="9"/>
        <v>0.95585106382978702</v>
      </c>
      <c r="AG20" s="170">
        <f>AF27</f>
        <v>0.96081385573021305</v>
      </c>
    </row>
    <row r="21" spans="1:33" ht="15.75" customHeight="1">
      <c r="A21" s="193" t="s">
        <v>52</v>
      </c>
      <c r="B21" s="35" t="s">
        <v>78</v>
      </c>
      <c r="C21" s="190" t="s">
        <v>93</v>
      </c>
      <c r="D21" s="190"/>
      <c r="E21" s="35">
        <v>53.68</v>
      </c>
      <c r="F21" s="4">
        <v>1575</v>
      </c>
      <c r="G21" s="4">
        <f t="shared" si="19"/>
        <v>84546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1928.5714285714291</v>
      </c>
      <c r="N21" s="16">
        <f t="shared" si="3"/>
        <v>120.53571428571432</v>
      </c>
      <c r="O21" s="18">
        <f t="shared" si="4"/>
        <v>0</v>
      </c>
      <c r="P21" s="19">
        <f t="shared" si="5"/>
        <v>-4.4642857142856798</v>
      </c>
      <c r="Q21" s="20">
        <f t="shared" si="6"/>
        <v>0.96428571428571452</v>
      </c>
      <c r="R21" s="170"/>
      <c r="S21" s="27">
        <v>0.27777777777777779</v>
      </c>
      <c r="T21" s="27">
        <v>0.31180555555555556</v>
      </c>
      <c r="U21" s="4">
        <f t="shared" ref="U21:U26" si="22">IF(S21=TIME(17,0,0),"",(S21-T20)*24*60)</f>
        <v>5.9999999999999787</v>
      </c>
      <c r="V21" s="21">
        <f t="shared" si="21"/>
        <v>48.999999999999986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-71.428571428570876</v>
      </c>
      <c r="AF21" s="20">
        <f t="shared" si="9"/>
        <v>0.96428571428571452</v>
      </c>
      <c r="AG21" s="170"/>
    </row>
    <row r="22" spans="1:33" ht="15.75" customHeight="1">
      <c r="A22" s="193" t="s">
        <v>52</v>
      </c>
      <c r="B22" s="35" t="s">
        <v>78</v>
      </c>
      <c r="C22" s="190" t="s">
        <v>2127</v>
      </c>
      <c r="D22" s="190"/>
      <c r="E22" s="35">
        <v>50.67</v>
      </c>
      <c r="F22" s="4">
        <v>4736</v>
      </c>
      <c r="G22" s="4">
        <f t="shared" si="19"/>
        <v>239973.12</v>
      </c>
      <c r="H22" s="21" t="s">
        <v>133</v>
      </c>
      <c r="I22" s="15">
        <v>16</v>
      </c>
      <c r="J22" s="17">
        <v>2000</v>
      </c>
      <c r="K22" s="16">
        <f t="shared" si="1"/>
        <v>125</v>
      </c>
      <c r="L22" s="15">
        <v>16</v>
      </c>
      <c r="M22" s="17">
        <f t="shared" si="20"/>
        <v>1907.1140939597312</v>
      </c>
      <c r="N22" s="16">
        <f t="shared" si="3"/>
        <v>119.1946308724832</v>
      </c>
      <c r="O22" s="18">
        <f t="shared" si="4"/>
        <v>0</v>
      </c>
      <c r="P22" s="19">
        <f t="shared" si="5"/>
        <v>-5.8053691275167978</v>
      </c>
      <c r="Q22" s="20">
        <f t="shared" si="6"/>
        <v>0.95355704697986565</v>
      </c>
      <c r="R22" s="170"/>
      <c r="S22" s="27">
        <v>0.31736111111111109</v>
      </c>
      <c r="T22" s="27">
        <v>0.42083333333333334</v>
      </c>
      <c r="U22" s="4">
        <f t="shared" si="22"/>
        <v>7.9999999999999716</v>
      </c>
      <c r="V22" s="21">
        <f t="shared" si="21"/>
        <v>149.00000000000003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-92.885906040268765</v>
      </c>
      <c r="AF22" s="20">
        <f t="shared" si="9"/>
        <v>0.95355704697986565</v>
      </c>
      <c r="AG22" s="170"/>
    </row>
    <row r="23" spans="1:33" ht="15.75" customHeight="1">
      <c r="A23" s="193" t="s">
        <v>2586</v>
      </c>
      <c r="B23" s="35" t="s">
        <v>78</v>
      </c>
      <c r="C23" s="190" t="s">
        <v>96</v>
      </c>
      <c r="D23" s="190"/>
      <c r="E23" s="35">
        <v>57.3</v>
      </c>
      <c r="F23" s="4">
        <v>1985</v>
      </c>
      <c r="G23" s="4">
        <f t="shared" si="19"/>
        <v>113740.5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1920.9677419354855</v>
      </c>
      <c r="N23" s="16">
        <f t="shared" si="3"/>
        <v>147.76674937965274</v>
      </c>
      <c r="O23" s="18">
        <f t="shared" si="4"/>
        <v>0</v>
      </c>
      <c r="P23" s="19">
        <f t="shared" si="5"/>
        <v>-6.0794044665011029</v>
      </c>
      <c r="Q23" s="20">
        <f t="shared" si="6"/>
        <v>0.96048387096774279</v>
      </c>
      <c r="R23" s="170"/>
      <c r="S23" s="27">
        <v>0.70833333333333337</v>
      </c>
      <c r="T23" s="27">
        <v>0.75138888888888888</v>
      </c>
      <c r="U23" s="4" t="str">
        <f t="shared" si="22"/>
        <v/>
      </c>
      <c r="V23" s="21">
        <f t="shared" si="21"/>
        <v>61.999999999999943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-79.032258064514508</v>
      </c>
      <c r="AF23" s="20">
        <f t="shared" si="9"/>
        <v>0.96048387096774279</v>
      </c>
      <c r="AG23" s="170"/>
    </row>
    <row r="24" spans="1:33" ht="15.75" customHeight="1">
      <c r="A24" s="193" t="s">
        <v>52</v>
      </c>
      <c r="B24" s="35" t="s">
        <v>78</v>
      </c>
      <c r="C24" s="190" t="s">
        <v>95</v>
      </c>
      <c r="D24" s="190"/>
      <c r="E24" s="35">
        <v>53.68</v>
      </c>
      <c r="F24" s="4">
        <v>1798</v>
      </c>
      <c r="G24" s="4">
        <f t="shared" si="19"/>
        <v>96516.64</v>
      </c>
      <c r="H24" s="21" t="s">
        <v>133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1438.399999999999</v>
      </c>
      <c r="N24" s="16">
        <f t="shared" si="3"/>
        <v>89.899999999999935</v>
      </c>
      <c r="O24" s="18">
        <f t="shared" si="4"/>
        <v>0</v>
      </c>
      <c r="P24" s="19">
        <f t="shared" si="5"/>
        <v>-3.8500000000000654</v>
      </c>
      <c r="Q24" s="20">
        <f t="shared" si="6"/>
        <v>0.95893333333333264</v>
      </c>
      <c r="R24" s="170"/>
      <c r="S24" s="27">
        <v>0.75486111111111109</v>
      </c>
      <c r="T24" s="27">
        <v>0.80694444444444446</v>
      </c>
      <c r="U24" s="4">
        <f t="shared" si="22"/>
        <v>4.9999999999999822</v>
      </c>
      <c r="V24" s="21">
        <f t="shared" si="21"/>
        <v>75.000000000000057</v>
      </c>
      <c r="W24" s="22"/>
      <c r="X24" s="22"/>
      <c r="Y24" s="4"/>
      <c r="Z24" s="4"/>
      <c r="AA24" s="162"/>
      <c r="AB24" s="162"/>
      <c r="AC24" s="24"/>
      <c r="AD24" s="24"/>
      <c r="AE24" s="18">
        <f t="shared" si="8"/>
        <v>-61.600000000001046</v>
      </c>
      <c r="AF24" s="20">
        <f t="shared" si="9"/>
        <v>0.95893333333333264</v>
      </c>
      <c r="AG24" s="170"/>
    </row>
    <row r="25" spans="1:33" ht="15.75" customHeight="1">
      <c r="A25" s="193" t="s">
        <v>2586</v>
      </c>
      <c r="B25" s="35" t="s">
        <v>78</v>
      </c>
      <c r="C25" s="190" t="s">
        <v>94</v>
      </c>
      <c r="D25" s="190"/>
      <c r="E25" s="35">
        <v>50.49</v>
      </c>
      <c r="F25" s="4">
        <v>1200</v>
      </c>
      <c r="G25" s="4">
        <f t="shared" si="19"/>
        <v>60588</v>
      </c>
      <c r="H25" s="21">
        <v>2</v>
      </c>
      <c r="I25" s="15">
        <v>15</v>
      </c>
      <c r="J25" s="17">
        <v>2000</v>
      </c>
      <c r="K25" s="16">
        <f t="shared" si="1"/>
        <v>133.33333333333334</v>
      </c>
      <c r="L25" s="15">
        <v>15</v>
      </c>
      <c r="M25" s="17">
        <f t="shared" si="20"/>
        <v>1945.9459459459445</v>
      </c>
      <c r="N25" s="16">
        <f t="shared" si="3"/>
        <v>129.72972972972963</v>
      </c>
      <c r="O25" s="18">
        <f t="shared" si="4"/>
        <v>0</v>
      </c>
      <c r="P25" s="19">
        <f t="shared" si="5"/>
        <v>-3.603603603603716</v>
      </c>
      <c r="Q25" s="20">
        <f t="shared" si="6"/>
        <v>0.97297297297297214</v>
      </c>
      <c r="R25" s="170"/>
      <c r="S25" s="27">
        <v>0.81180555555555556</v>
      </c>
      <c r="T25" s="27">
        <v>0.83750000000000002</v>
      </c>
      <c r="U25" s="4">
        <f t="shared" si="22"/>
        <v>6.9999999999999751</v>
      </c>
      <c r="V25" s="21">
        <f t="shared" si="21"/>
        <v>37.000000000000028</v>
      </c>
      <c r="W25" s="22">
        <f>T25</f>
        <v>0.83750000000000002</v>
      </c>
      <c r="X25" s="22">
        <f>S26</f>
        <v>0.87847222222222221</v>
      </c>
      <c r="Y25" s="27"/>
      <c r="Z25" s="27"/>
      <c r="AA25" s="162"/>
      <c r="AB25" s="162"/>
      <c r="AC25" s="24"/>
      <c r="AD25" s="24"/>
      <c r="AE25" s="18">
        <f t="shared" si="8"/>
        <v>-54.054054054055541</v>
      </c>
      <c r="AF25" s="20">
        <f t="shared" si="9"/>
        <v>0.97297297297297225</v>
      </c>
      <c r="AG25" s="170"/>
    </row>
    <row r="26" spans="1:33" ht="15.75" customHeight="1">
      <c r="A26" s="193" t="s">
        <v>2587</v>
      </c>
      <c r="B26" s="35" t="s">
        <v>78</v>
      </c>
      <c r="C26" s="215" t="s">
        <v>94</v>
      </c>
      <c r="D26" s="216"/>
      <c r="E26" s="35">
        <v>50.49</v>
      </c>
      <c r="F26" s="4">
        <v>1119</v>
      </c>
      <c r="G26" s="4">
        <f t="shared" si="19"/>
        <v>56498.310000000005</v>
      </c>
      <c r="H26" s="21" t="s">
        <v>133</v>
      </c>
      <c r="I26" s="15">
        <v>15</v>
      </c>
      <c r="J26" s="17">
        <v>2000</v>
      </c>
      <c r="K26" s="16">
        <f t="shared" si="1"/>
        <v>133.33333333333334</v>
      </c>
      <c r="L26" s="15">
        <v>15</v>
      </c>
      <c r="M26" s="17">
        <f t="shared" si="20"/>
        <v>1918.2857142857124</v>
      </c>
      <c r="N26" s="16">
        <f t="shared" si="3"/>
        <v>127.88571428571416</v>
      </c>
      <c r="O26" s="18">
        <f t="shared" si="4"/>
        <v>0</v>
      </c>
      <c r="P26" s="19">
        <f t="shared" si="5"/>
        <v>-5.4476190476191846</v>
      </c>
      <c r="Q26" s="20">
        <f t="shared" si="6"/>
        <v>0.95914285714285608</v>
      </c>
      <c r="R26" s="170"/>
      <c r="S26" s="27">
        <v>0.87847222222222221</v>
      </c>
      <c r="T26" s="27">
        <v>0.90277777777777779</v>
      </c>
      <c r="U26" s="4">
        <f t="shared" si="22"/>
        <v>58.99999999999995</v>
      </c>
      <c r="V26" s="21">
        <f t="shared" si="21"/>
        <v>35.000000000000036</v>
      </c>
      <c r="W26" s="22"/>
      <c r="X26" s="27"/>
      <c r="Y26" s="28"/>
      <c r="Z26" s="28"/>
      <c r="AA26" s="176"/>
      <c r="AB26" s="177"/>
      <c r="AC26" s="24"/>
      <c r="AD26" s="24"/>
      <c r="AE26" s="18">
        <f t="shared" si="8"/>
        <v>-81.714285714287598</v>
      </c>
      <c r="AF26" s="20">
        <f t="shared" si="9"/>
        <v>0.95914285714285619</v>
      </c>
      <c r="AG26" s="170"/>
    </row>
    <row r="27" spans="1:33" ht="15.75" customHeight="1">
      <c r="A27" s="193" t="s">
        <v>52</v>
      </c>
      <c r="B27" s="35" t="s">
        <v>48</v>
      </c>
      <c r="C27" s="171"/>
      <c r="D27" s="171"/>
      <c r="E27" s="36"/>
      <c r="F27" s="4"/>
      <c r="G27" s="4"/>
      <c r="H27" s="4"/>
      <c r="I27" s="29">
        <v>15</v>
      </c>
      <c r="J27" s="17">
        <v>1928.5714285714287</v>
      </c>
      <c r="K27" s="16">
        <f t="shared" si="1"/>
        <v>128.57142857142858</v>
      </c>
      <c r="L27" s="29">
        <v>15</v>
      </c>
      <c r="M27" s="17">
        <f>AVERAGE(M20:M26)</f>
        <v>1852.9981503368394</v>
      </c>
      <c r="N27" s="16">
        <f t="shared" si="3"/>
        <v>123.53321002245596</v>
      </c>
      <c r="O27" s="18">
        <f t="shared" si="4"/>
        <v>0</v>
      </c>
      <c r="P27" s="19">
        <f t="shared" si="5"/>
        <v>-5.0382185489726226</v>
      </c>
      <c r="Q27" s="20">
        <f t="shared" si="6"/>
        <v>0.96081385573021294</v>
      </c>
      <c r="R27" s="170"/>
      <c r="S27" s="27"/>
      <c r="T27" s="27"/>
      <c r="U27" s="16"/>
      <c r="V27" s="21"/>
      <c r="W27" s="16"/>
      <c r="X27" s="16"/>
      <c r="Y27" s="30">
        <f>SUM(Y20:Y26)</f>
        <v>0</v>
      </c>
      <c r="Z27" s="30">
        <f>SUM(Z20:Z26)</f>
        <v>0</v>
      </c>
      <c r="AA27" s="166"/>
      <c r="AB27" s="166"/>
      <c r="AC27" s="30">
        <v>7</v>
      </c>
      <c r="AD27" s="30">
        <f>SUM(AD20:AD26)</f>
        <v>0</v>
      </c>
      <c r="AE27" s="18">
        <f t="shared" si="8"/>
        <v>-75.573278234589225</v>
      </c>
      <c r="AF27" s="20">
        <f t="shared" si="9"/>
        <v>0.96081385573021305</v>
      </c>
      <c r="AG27" s="170"/>
    </row>
    <row r="28" spans="1:33" ht="15.75" customHeight="1">
      <c r="A28" s="191" t="s">
        <v>2588</v>
      </c>
      <c r="B28" s="35" t="s">
        <v>97</v>
      </c>
      <c r="C28" s="190" t="s">
        <v>98</v>
      </c>
      <c r="D28" s="190"/>
      <c r="E28" s="35">
        <v>31.29</v>
      </c>
      <c r="F28" s="4">
        <v>6600</v>
      </c>
      <c r="G28" s="4">
        <f t="shared" ref="G28:G34" si="23">E28*F28</f>
        <v>206514</v>
      </c>
      <c r="H28" s="21">
        <v>2</v>
      </c>
      <c r="I28" s="15">
        <v>18</v>
      </c>
      <c r="J28" s="17">
        <v>2400</v>
      </c>
      <c r="K28" s="16">
        <f t="shared" si="1"/>
        <v>133.33333333333334</v>
      </c>
      <c r="L28" s="15">
        <v>18</v>
      </c>
      <c r="M28" s="17">
        <f t="shared" ref="M28:M34" si="24">F28/V28*60</f>
        <v>2289.0173410404623</v>
      </c>
      <c r="N28" s="16">
        <f t="shared" si="3"/>
        <v>127.16763005780346</v>
      </c>
      <c r="O28" s="18">
        <f t="shared" si="4"/>
        <v>0</v>
      </c>
      <c r="P28" s="19">
        <f t="shared" si="5"/>
        <v>-6.1657032755298786</v>
      </c>
      <c r="Q28" s="20">
        <f t="shared" si="6"/>
        <v>0.95375722543352592</v>
      </c>
      <c r="R28" s="170">
        <f>Q35</f>
        <v>0.95792112859293499</v>
      </c>
      <c r="S28" s="27">
        <v>8.3333333333333329E-2</v>
      </c>
      <c r="T28" s="27">
        <v>0.20347222222222222</v>
      </c>
      <c r="U28" s="4"/>
      <c r="V28" s="21">
        <f t="shared" ref="V28:V34" si="25">(T28-S28)*24*60</f>
        <v>173</v>
      </c>
      <c r="W28" s="22">
        <f>T28</f>
        <v>0.20347222222222222</v>
      </c>
      <c r="X28" s="22">
        <f>S29</f>
        <v>0.22291666666666668</v>
      </c>
      <c r="Y28" s="22"/>
      <c r="Z28" s="22"/>
      <c r="AA28" s="162"/>
      <c r="AB28" s="162"/>
      <c r="AC28" s="24">
        <v>7</v>
      </c>
      <c r="AD28" s="24"/>
      <c r="AE28" s="18">
        <f t="shared" si="8"/>
        <v>-110.98265895953773</v>
      </c>
      <c r="AF28" s="20">
        <f t="shared" si="9"/>
        <v>0.95375722543352592</v>
      </c>
      <c r="AG28" s="170">
        <f>AF35</f>
        <v>0.9579211285929351</v>
      </c>
    </row>
    <row r="29" spans="1:33" ht="15.75" customHeight="1">
      <c r="A29" s="191" t="s">
        <v>2589</v>
      </c>
      <c r="B29" s="35" t="s">
        <v>97</v>
      </c>
      <c r="C29" s="190" t="s">
        <v>99</v>
      </c>
      <c r="D29" s="190"/>
      <c r="E29" s="35">
        <v>25.98</v>
      </c>
      <c r="F29" s="4">
        <v>3713</v>
      </c>
      <c r="G29" s="4">
        <f t="shared" si="23"/>
        <v>96463.74</v>
      </c>
      <c r="H29" s="21" t="s">
        <v>133</v>
      </c>
      <c r="I29" s="15">
        <v>21</v>
      </c>
      <c r="J29" s="17">
        <v>2400</v>
      </c>
      <c r="K29" s="16">
        <f t="shared" si="1"/>
        <v>114.28571428571429</v>
      </c>
      <c r="L29" s="15">
        <v>21</v>
      </c>
      <c r="M29" s="17">
        <f t="shared" si="24"/>
        <v>2296.7010309278348</v>
      </c>
      <c r="N29" s="16">
        <f t="shared" si="3"/>
        <v>109.36671575846833</v>
      </c>
      <c r="O29" s="18">
        <f t="shared" si="4"/>
        <v>0</v>
      </c>
      <c r="P29" s="19">
        <f t="shared" si="5"/>
        <v>-4.9189985272459609</v>
      </c>
      <c r="Q29" s="20">
        <f t="shared" si="6"/>
        <v>0.95695876288659787</v>
      </c>
      <c r="R29" s="170"/>
      <c r="S29" s="27">
        <v>0.22291666666666668</v>
      </c>
      <c r="T29" s="27">
        <v>0.2902777777777778</v>
      </c>
      <c r="U29" s="4">
        <f t="shared" ref="U29:U34" si="26">(S29-T28)*24*60</f>
        <v>28.000000000000021</v>
      </c>
      <c r="V29" s="21">
        <f t="shared" si="25"/>
        <v>97.000000000000014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-103.29896907216516</v>
      </c>
      <c r="AF29" s="20">
        <f t="shared" si="9"/>
        <v>0.95695876288659787</v>
      </c>
      <c r="AG29" s="170"/>
    </row>
    <row r="30" spans="1:33" ht="15.75" customHeight="1">
      <c r="A30" s="191" t="s">
        <v>54</v>
      </c>
      <c r="B30" s="35" t="s">
        <v>97</v>
      </c>
      <c r="C30" s="190" t="s">
        <v>100</v>
      </c>
      <c r="D30" s="190"/>
      <c r="E30" s="35">
        <v>26.2</v>
      </c>
      <c r="F30" s="4">
        <v>3600</v>
      </c>
      <c r="G30" s="4">
        <f t="shared" si="23"/>
        <v>94320</v>
      </c>
      <c r="H30" s="21">
        <v>2</v>
      </c>
      <c r="I30" s="15">
        <v>20</v>
      </c>
      <c r="J30" s="17">
        <v>2400</v>
      </c>
      <c r="K30" s="16">
        <f t="shared" si="1"/>
        <v>120</v>
      </c>
      <c r="L30" s="15">
        <v>20</v>
      </c>
      <c r="M30" s="17">
        <f t="shared" si="24"/>
        <v>2297.872340425532</v>
      </c>
      <c r="N30" s="16">
        <f t="shared" si="3"/>
        <v>114.8936170212766</v>
      </c>
      <c r="O30" s="18">
        <f t="shared" si="4"/>
        <v>0</v>
      </c>
      <c r="P30" s="19">
        <f t="shared" si="5"/>
        <v>-5.1063829787234027</v>
      </c>
      <c r="Q30" s="20">
        <f t="shared" si="6"/>
        <v>0.95744680851063835</v>
      </c>
      <c r="R30" s="170"/>
      <c r="S30" s="27">
        <v>0.29375000000000001</v>
      </c>
      <c r="T30" s="27">
        <v>0.35902777777777778</v>
      </c>
      <c r="U30" s="4">
        <f t="shared" si="26"/>
        <v>4.9999999999999822</v>
      </c>
      <c r="V30" s="21">
        <f t="shared" si="25"/>
        <v>93.999999999999986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-102.127659574468</v>
      </c>
      <c r="AF30" s="20">
        <f t="shared" si="9"/>
        <v>0.95744680851063835</v>
      </c>
      <c r="AG30" s="170"/>
    </row>
    <row r="31" spans="1:33" ht="15.75" customHeight="1">
      <c r="A31" s="191" t="s">
        <v>54</v>
      </c>
      <c r="B31" s="35" t="s">
        <v>97</v>
      </c>
      <c r="C31" s="190" t="s">
        <v>101</v>
      </c>
      <c r="D31" s="190"/>
      <c r="E31" s="35">
        <v>25.99</v>
      </c>
      <c r="F31" s="4">
        <v>4906</v>
      </c>
      <c r="G31" s="4">
        <f t="shared" si="23"/>
        <v>127506.93999999999</v>
      </c>
      <c r="H31" s="21" t="s">
        <v>133</v>
      </c>
      <c r="I31" s="15">
        <v>14</v>
      </c>
      <c r="J31" s="17">
        <v>2400</v>
      </c>
      <c r="K31" s="16">
        <f t="shared" si="1"/>
        <v>171.42857142857142</v>
      </c>
      <c r="L31" s="15">
        <v>14</v>
      </c>
      <c r="M31" s="17">
        <f t="shared" si="24"/>
        <v>2299.6874999999995</v>
      </c>
      <c r="N31" s="16">
        <f t="shared" si="3"/>
        <v>164.26339285714283</v>
      </c>
      <c r="O31" s="18">
        <f t="shared" si="4"/>
        <v>0</v>
      </c>
      <c r="P31" s="19">
        <f t="shared" si="5"/>
        <v>-7.1651785714285836</v>
      </c>
      <c r="Q31" s="20">
        <f t="shared" si="6"/>
        <v>0.95820312499999993</v>
      </c>
      <c r="R31" s="170"/>
      <c r="S31" s="27">
        <v>0.36249999999999999</v>
      </c>
      <c r="T31" s="27">
        <v>0.4513888888888889</v>
      </c>
      <c r="U31" s="4">
        <f t="shared" si="26"/>
        <v>4.9999999999999822</v>
      </c>
      <c r="V31" s="21">
        <f t="shared" si="25"/>
        <v>128.00000000000003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-100.31250000000045</v>
      </c>
      <c r="AF31" s="20">
        <f t="shared" si="9"/>
        <v>0.95820312499999982</v>
      </c>
      <c r="AG31" s="170"/>
    </row>
    <row r="32" spans="1:33" ht="15.75" customHeight="1">
      <c r="A32" s="191" t="s">
        <v>54</v>
      </c>
      <c r="B32" s="35" t="s">
        <v>97</v>
      </c>
      <c r="C32" s="190" t="s">
        <v>102</v>
      </c>
      <c r="D32" s="190"/>
      <c r="E32" s="35">
        <v>26.18</v>
      </c>
      <c r="F32" s="4">
        <v>2067</v>
      </c>
      <c r="G32" s="4">
        <f t="shared" si="23"/>
        <v>54114.06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4"/>
        <v>2296.6666666666679</v>
      </c>
      <c r="N32" s="16">
        <f t="shared" si="3"/>
        <v>120.87719298245621</v>
      </c>
      <c r="O32" s="18">
        <f t="shared" si="4"/>
        <v>0</v>
      </c>
      <c r="P32" s="19">
        <f t="shared" si="5"/>
        <v>-5.4385964912279974</v>
      </c>
      <c r="Q32" s="20">
        <f t="shared" si="6"/>
        <v>0.95694444444444504</v>
      </c>
      <c r="R32" s="170"/>
      <c r="S32" s="27">
        <v>0.45555555555555555</v>
      </c>
      <c r="T32" s="27">
        <v>0.49305555555555552</v>
      </c>
      <c r="U32" s="4">
        <f t="shared" si="26"/>
        <v>5.9999999999999787</v>
      </c>
      <c r="V32" s="21">
        <f t="shared" si="25"/>
        <v>53.999999999999972</v>
      </c>
      <c r="W32" s="22">
        <f>T32</f>
        <v>0.49305555555555552</v>
      </c>
      <c r="X32" s="22">
        <f>S33</f>
        <v>0.53333333333333321</v>
      </c>
      <c r="Y32" s="22"/>
      <c r="Z32" s="22"/>
      <c r="AA32" s="162"/>
      <c r="AB32" s="162"/>
      <c r="AC32" s="24"/>
      <c r="AD32" s="24"/>
      <c r="AE32" s="18">
        <f t="shared" si="8"/>
        <v>-103.33333333333212</v>
      </c>
      <c r="AF32" s="20">
        <f t="shared" si="9"/>
        <v>0.95694444444444493</v>
      </c>
      <c r="AG32" s="170"/>
    </row>
    <row r="33" spans="1:33" ht="15.75" customHeight="1">
      <c r="A33" s="191" t="s">
        <v>2589</v>
      </c>
      <c r="B33" s="35" t="s">
        <v>97</v>
      </c>
      <c r="C33" s="190" t="s">
        <v>100</v>
      </c>
      <c r="D33" s="190"/>
      <c r="E33" s="35">
        <v>26.2</v>
      </c>
      <c r="F33" s="4">
        <v>2774</v>
      </c>
      <c r="G33" s="4">
        <f t="shared" si="23"/>
        <v>72678.8</v>
      </c>
      <c r="H33" s="21" t="s">
        <v>133</v>
      </c>
      <c r="I33" s="15">
        <v>20</v>
      </c>
      <c r="J33" s="17">
        <v>2400</v>
      </c>
      <c r="K33" s="16">
        <f t="shared" si="1"/>
        <v>120</v>
      </c>
      <c r="L33" s="15">
        <v>20</v>
      </c>
      <c r="M33" s="17">
        <f t="shared" si="24"/>
        <v>2311.6666666666652</v>
      </c>
      <c r="N33" s="16">
        <f t="shared" si="3"/>
        <v>115.58333333333326</v>
      </c>
      <c r="O33" s="18">
        <f t="shared" si="4"/>
        <v>0</v>
      </c>
      <c r="P33" s="19">
        <f t="shared" si="5"/>
        <v>-4.4166666666667425</v>
      </c>
      <c r="Q33" s="20">
        <f t="shared" si="6"/>
        <v>0.9631944444444438</v>
      </c>
      <c r="R33" s="170"/>
      <c r="S33" s="27">
        <v>0.53333333333333321</v>
      </c>
      <c r="T33" s="27">
        <v>0.58333333333333326</v>
      </c>
      <c r="U33" s="4">
        <f t="shared" si="26"/>
        <v>57.999999999999872</v>
      </c>
      <c r="V33" s="21">
        <f t="shared" si="25"/>
        <v>72.000000000000057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-88.333333333334849</v>
      </c>
      <c r="AF33" s="20">
        <f t="shared" si="9"/>
        <v>0.9631944444444438</v>
      </c>
      <c r="AG33" s="170"/>
    </row>
    <row r="34" spans="1:33" ht="15.75" customHeight="1">
      <c r="A34" s="191" t="s">
        <v>54</v>
      </c>
      <c r="B34" s="35" t="s">
        <v>97</v>
      </c>
      <c r="C34" s="190" t="s">
        <v>98</v>
      </c>
      <c r="D34" s="190"/>
      <c r="E34" s="35">
        <v>31.29</v>
      </c>
      <c r="F34" s="4">
        <v>4718</v>
      </c>
      <c r="G34" s="4">
        <f t="shared" si="23"/>
        <v>147626.22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4"/>
        <v>2301.4634146341455</v>
      </c>
      <c r="N34" s="16">
        <f t="shared" si="3"/>
        <v>127.85907859078586</v>
      </c>
      <c r="O34" s="18">
        <f t="shared" si="4"/>
        <v>0</v>
      </c>
      <c r="P34" s="19">
        <f t="shared" si="5"/>
        <v>-5.4742547425474868</v>
      </c>
      <c r="Q34" s="20">
        <f t="shared" si="6"/>
        <v>0.9589430894308939</v>
      </c>
      <c r="R34" s="170"/>
      <c r="S34" s="27">
        <v>0.58819444444444435</v>
      </c>
      <c r="T34" s="27">
        <v>0.67361111111111105</v>
      </c>
      <c r="U34" s="4">
        <f t="shared" si="26"/>
        <v>6.9999999999999751</v>
      </c>
      <c r="V34" s="21">
        <f t="shared" si="25"/>
        <v>123.00000000000004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-98.536585365854535</v>
      </c>
      <c r="AF34" s="20">
        <f t="shared" si="9"/>
        <v>0.9589430894308939</v>
      </c>
      <c r="AG34" s="170"/>
    </row>
    <row r="35" spans="1:33" ht="15.75" customHeight="1">
      <c r="A35" s="191" t="s">
        <v>54</v>
      </c>
      <c r="B35" s="35" t="s">
        <v>48</v>
      </c>
      <c r="C35" s="171"/>
      <c r="D35" s="171"/>
      <c r="E35" s="36"/>
      <c r="F35" s="4"/>
      <c r="G35" s="4"/>
      <c r="H35" s="4"/>
      <c r="I35" s="29">
        <v>18.571428571428573</v>
      </c>
      <c r="J35" s="17">
        <v>2400</v>
      </c>
      <c r="K35" s="16">
        <f t="shared" si="1"/>
        <v>129.23076923076923</v>
      </c>
      <c r="L35" s="29">
        <v>18.571428571428573</v>
      </c>
      <c r="M35" s="17">
        <f>AVERAGE(M28:M34)</f>
        <v>2299.0107086230441</v>
      </c>
      <c r="N35" s="16">
        <f t="shared" si="3"/>
        <v>123.79288431047159</v>
      </c>
      <c r="O35" s="18">
        <f t="shared" si="4"/>
        <v>0</v>
      </c>
      <c r="P35" s="19">
        <f t="shared" si="5"/>
        <v>-5.437884920297634</v>
      </c>
      <c r="Q35" s="20">
        <f t="shared" si="6"/>
        <v>0.95792112859293499</v>
      </c>
      <c r="R35" s="170"/>
      <c r="S35" s="27"/>
      <c r="T35" s="27"/>
      <c r="U35" s="4"/>
      <c r="V35" s="21"/>
      <c r="W35" s="4"/>
      <c r="X35" s="4"/>
      <c r="Y35" s="30">
        <f>SUM(Y28:Y34)</f>
        <v>0</v>
      </c>
      <c r="Z35" s="30">
        <f>SUM(Z28:Z34)</f>
        <v>0</v>
      </c>
      <c r="AA35" s="166"/>
      <c r="AB35" s="166"/>
      <c r="AC35" s="30">
        <v>7</v>
      </c>
      <c r="AD35" s="30">
        <f>SUM(AD28:AD34)</f>
        <v>0</v>
      </c>
      <c r="AE35" s="18">
        <f t="shared" si="8"/>
        <v>-100.98929137695586</v>
      </c>
      <c r="AF35" s="20">
        <f t="shared" si="9"/>
        <v>0.9579211285929351</v>
      </c>
      <c r="AG35" s="170"/>
    </row>
    <row r="36" spans="1:33" ht="15.75" customHeight="1">
      <c r="A36" s="188" t="s">
        <v>60</v>
      </c>
      <c r="B36" s="35" t="s">
        <v>97</v>
      </c>
      <c r="C36" s="163" t="s">
        <v>103</v>
      </c>
      <c r="D36" s="163"/>
      <c r="E36" s="35">
        <v>26.2</v>
      </c>
      <c r="F36" s="4">
        <v>4700</v>
      </c>
      <c r="G36" s="4">
        <f t="shared" ref="G36:G43" si="27">E36*F36</f>
        <v>123140</v>
      </c>
      <c r="H36" s="21">
        <v>2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ref="M36:M43" si="28">F36/V36*60</f>
        <v>2292.6829268292686</v>
      </c>
      <c r="N36" s="16">
        <f t="shared" si="3"/>
        <v>127.37127371273715</v>
      </c>
      <c r="O36" s="18">
        <f t="shared" si="4"/>
        <v>0</v>
      </c>
      <c r="P36" s="19">
        <f t="shared" si="5"/>
        <v>-5.9620596205961931</v>
      </c>
      <c r="Q36" s="20">
        <f t="shared" si="6"/>
        <v>0.9552845528455286</v>
      </c>
      <c r="R36" s="170">
        <f>Q44</f>
        <v>0.95771645294620156</v>
      </c>
      <c r="S36" s="27">
        <v>8.3333333333333329E-2</v>
      </c>
      <c r="T36" s="27">
        <v>0.16874999999999998</v>
      </c>
      <c r="U36" s="4"/>
      <c r="V36" s="21">
        <f t="shared" ref="V36:V43" si="29">(T36-S36)*24*60</f>
        <v>122.99999999999999</v>
      </c>
      <c r="W36" s="27">
        <f>T36</f>
        <v>0.16874999999999998</v>
      </c>
      <c r="X36" s="27">
        <f>S37</f>
        <v>0.18611111111111106</v>
      </c>
      <c r="Y36" s="27"/>
      <c r="Z36" s="27"/>
      <c r="AA36" s="162"/>
      <c r="AB36" s="162"/>
      <c r="AC36" s="24">
        <v>8</v>
      </c>
      <c r="AD36" s="24"/>
      <c r="AE36" s="18">
        <f t="shared" si="8"/>
        <v>-107.31707317073142</v>
      </c>
      <c r="AF36" s="20">
        <f t="shared" si="9"/>
        <v>0.9552845528455286</v>
      </c>
      <c r="AG36" s="170">
        <f>AF44</f>
        <v>0.95771645294620156</v>
      </c>
    </row>
    <row r="37" spans="1:33" ht="15.75" customHeight="1">
      <c r="A37" s="188" t="s">
        <v>2590</v>
      </c>
      <c r="B37" s="35" t="s">
        <v>97</v>
      </c>
      <c r="C37" s="163" t="s">
        <v>104</v>
      </c>
      <c r="D37" s="163"/>
      <c r="E37" s="35">
        <v>20.52</v>
      </c>
      <c r="F37" s="4">
        <v>4682</v>
      </c>
      <c r="G37" s="4">
        <f t="shared" si="27"/>
        <v>96074.64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2302.622950819673</v>
      </c>
      <c r="N37" s="16">
        <f t="shared" si="3"/>
        <v>127.92349726775961</v>
      </c>
      <c r="O37" s="18">
        <f t="shared" si="4"/>
        <v>0</v>
      </c>
      <c r="P37" s="19">
        <f t="shared" si="5"/>
        <v>-5.4098360655737281</v>
      </c>
      <c r="Q37" s="20">
        <f t="shared" si="6"/>
        <v>0.959426229508197</v>
      </c>
      <c r="R37" s="170"/>
      <c r="S37" s="27">
        <v>0.18611111111111106</v>
      </c>
      <c r="T37" s="27">
        <v>0.27083333333333326</v>
      </c>
      <c r="U37" s="4">
        <f t="shared" ref="U37:U43" si="30">(S37-T36)*24*60</f>
        <v>24.99999999999995</v>
      </c>
      <c r="V37" s="21">
        <f t="shared" si="29"/>
        <v>121.99999999999997</v>
      </c>
      <c r="W37" s="4"/>
      <c r="X37" s="4"/>
      <c r="Y37" s="4"/>
      <c r="Z37" s="4"/>
      <c r="AA37" s="162"/>
      <c r="AB37" s="162"/>
      <c r="AC37" s="24"/>
      <c r="AD37" s="24"/>
      <c r="AE37" s="18">
        <f t="shared" si="8"/>
        <v>-97.377049180327049</v>
      </c>
      <c r="AF37" s="20">
        <f t="shared" si="9"/>
        <v>0.95942622950819711</v>
      </c>
      <c r="AG37" s="170"/>
    </row>
    <row r="38" spans="1:33">
      <c r="A38" s="189" t="s">
        <v>60</v>
      </c>
      <c r="B38" s="35" t="s">
        <v>97</v>
      </c>
      <c r="C38" s="163" t="s">
        <v>105</v>
      </c>
      <c r="D38" s="163"/>
      <c r="E38" s="35">
        <v>26.39</v>
      </c>
      <c r="F38" s="4">
        <v>4200</v>
      </c>
      <c r="G38" s="4">
        <f t="shared" si="27"/>
        <v>110838</v>
      </c>
      <c r="H38" s="21">
        <v>2</v>
      </c>
      <c r="I38" s="15">
        <v>19</v>
      </c>
      <c r="J38" s="17">
        <v>2400</v>
      </c>
      <c r="K38" s="16">
        <f t="shared" si="1"/>
        <v>126.31578947368421</v>
      </c>
      <c r="L38" s="15">
        <v>19</v>
      </c>
      <c r="M38" s="17">
        <f t="shared" si="28"/>
        <v>2290.909090909091</v>
      </c>
      <c r="N38" s="16">
        <f t="shared" si="3"/>
        <v>120.57416267942584</v>
      </c>
      <c r="O38" s="18">
        <f t="shared" si="4"/>
        <v>0</v>
      </c>
      <c r="P38" s="19">
        <f t="shared" si="5"/>
        <v>-5.7416267942583659</v>
      </c>
      <c r="Q38" s="20">
        <f t="shared" si="6"/>
        <v>0.95454545454545459</v>
      </c>
      <c r="R38" s="170"/>
      <c r="S38" s="27">
        <v>0.27430555555555547</v>
      </c>
      <c r="T38" s="27">
        <v>0.35069444444444436</v>
      </c>
      <c r="U38" s="4">
        <f t="shared" si="30"/>
        <v>4.9999999999999822</v>
      </c>
      <c r="V38" s="21">
        <f t="shared" si="29"/>
        <v>110.00000000000001</v>
      </c>
      <c r="W38" s="4"/>
      <c r="X38" s="4"/>
      <c r="Y38" s="4"/>
      <c r="Z38" s="4"/>
      <c r="AA38" s="162"/>
      <c r="AB38" s="162"/>
      <c r="AC38" s="24"/>
      <c r="AD38" s="24"/>
      <c r="AE38" s="18">
        <f t="shared" si="8"/>
        <v>-109.09090909090901</v>
      </c>
      <c r="AF38" s="20">
        <f t="shared" si="9"/>
        <v>0.95454545454545459</v>
      </c>
      <c r="AG38" s="170"/>
    </row>
    <row r="39" spans="1:33">
      <c r="A39" s="189" t="s">
        <v>2590</v>
      </c>
      <c r="B39" s="35" t="s">
        <v>97</v>
      </c>
      <c r="C39" s="163" t="s">
        <v>107</v>
      </c>
      <c r="D39" s="163"/>
      <c r="E39" s="35">
        <v>20.52</v>
      </c>
      <c r="F39" s="4">
        <v>3231</v>
      </c>
      <c r="G39" s="4">
        <f t="shared" si="27"/>
        <v>66300.12</v>
      </c>
      <c r="H39" s="21" t="s">
        <v>133</v>
      </c>
      <c r="I39" s="15">
        <v>18</v>
      </c>
      <c r="J39" s="17">
        <v>2400</v>
      </c>
      <c r="K39" s="16">
        <f t="shared" si="1"/>
        <v>133.33333333333334</v>
      </c>
      <c r="L39" s="15">
        <v>18</v>
      </c>
      <c r="M39" s="17">
        <f t="shared" si="28"/>
        <v>2280.705882352941</v>
      </c>
      <c r="N39" s="16">
        <f t="shared" si="3"/>
        <v>126.70588235294116</v>
      </c>
      <c r="O39" s="18">
        <f t="shared" si="4"/>
        <v>0</v>
      </c>
      <c r="P39" s="19">
        <f t="shared" si="5"/>
        <v>-6.6274509803921831</v>
      </c>
      <c r="Q39" s="20">
        <f t="shared" si="6"/>
        <v>0.95029411764705862</v>
      </c>
      <c r="R39" s="170"/>
      <c r="S39" s="27">
        <v>0.35486111111111102</v>
      </c>
      <c r="T39" s="27">
        <v>0.41388888888888881</v>
      </c>
      <c r="U39" s="4">
        <f t="shared" si="30"/>
        <v>5.9999999999999787</v>
      </c>
      <c r="V39" s="21">
        <f t="shared" si="29"/>
        <v>85.000000000000014</v>
      </c>
      <c r="W39" s="22"/>
      <c r="X39" s="22"/>
      <c r="Y39" s="22"/>
      <c r="Z39" s="22"/>
      <c r="AA39" s="162"/>
      <c r="AB39" s="162"/>
      <c r="AC39" s="24"/>
      <c r="AD39" s="24"/>
      <c r="AE39" s="18">
        <f t="shared" si="8"/>
        <v>-119.29411764705901</v>
      </c>
      <c r="AF39" s="20">
        <f t="shared" si="9"/>
        <v>0.95029411764705873</v>
      </c>
      <c r="AG39" s="170"/>
    </row>
    <row r="40" spans="1:33">
      <c r="A40" s="189" t="s">
        <v>2591</v>
      </c>
      <c r="B40" s="35" t="s">
        <v>97</v>
      </c>
      <c r="C40" s="163" t="s">
        <v>304</v>
      </c>
      <c r="D40" s="163"/>
      <c r="E40" s="35">
        <v>22.69</v>
      </c>
      <c r="F40" s="4">
        <v>3800</v>
      </c>
      <c r="G40" s="4">
        <f t="shared" si="27"/>
        <v>86222</v>
      </c>
      <c r="H40" s="21">
        <v>2</v>
      </c>
      <c r="I40" s="15">
        <v>15</v>
      </c>
      <c r="J40" s="17">
        <v>2400</v>
      </c>
      <c r="K40" s="16">
        <f t="shared" si="1"/>
        <v>160</v>
      </c>
      <c r="L40" s="15">
        <v>15</v>
      </c>
      <c r="M40" s="17">
        <f t="shared" si="28"/>
        <v>2303.0303030303039</v>
      </c>
      <c r="N40" s="16">
        <f t="shared" si="3"/>
        <v>153.53535353535361</v>
      </c>
      <c r="O40" s="18">
        <f t="shared" si="4"/>
        <v>0</v>
      </c>
      <c r="P40" s="19">
        <f t="shared" si="5"/>
        <v>-6.4646464646463926</v>
      </c>
      <c r="Q40" s="20">
        <f t="shared" si="6"/>
        <v>0.95959595959596</v>
      </c>
      <c r="R40" s="170"/>
      <c r="S40" s="27">
        <v>0.41736111111111102</v>
      </c>
      <c r="T40" s="27">
        <v>0.48611111111111099</v>
      </c>
      <c r="U40" s="4">
        <f t="shared" si="30"/>
        <v>4.9999999999999822</v>
      </c>
      <c r="V40" s="21">
        <f t="shared" si="29"/>
        <v>98.999999999999972</v>
      </c>
      <c r="W40" s="22">
        <f>T40</f>
        <v>0.48611111111111099</v>
      </c>
      <c r="X40" s="22">
        <f>S41</f>
        <v>0.5249999999999998</v>
      </c>
      <c r="Y40" s="22"/>
      <c r="Z40" s="22"/>
      <c r="AA40" s="162"/>
      <c r="AB40" s="162"/>
      <c r="AC40" s="24"/>
      <c r="AD40" s="24"/>
      <c r="AE40" s="18">
        <f t="shared" si="8"/>
        <v>-96.969696969696088</v>
      </c>
      <c r="AF40" s="20">
        <f t="shared" si="9"/>
        <v>0.95959595959596</v>
      </c>
      <c r="AG40" s="170"/>
    </row>
    <row r="41" spans="1:33">
      <c r="A41" s="189" t="s">
        <v>2592</v>
      </c>
      <c r="B41" s="35" t="s">
        <v>97</v>
      </c>
      <c r="C41" s="163" t="s">
        <v>103</v>
      </c>
      <c r="D41" s="163"/>
      <c r="E41" s="35">
        <v>26.2</v>
      </c>
      <c r="F41" s="4">
        <v>3493</v>
      </c>
      <c r="G41" s="4">
        <f t="shared" si="27"/>
        <v>91516.599999999991</v>
      </c>
      <c r="H41" s="21" t="s">
        <v>133</v>
      </c>
      <c r="I41" s="15">
        <v>18</v>
      </c>
      <c r="J41" s="17">
        <v>2400</v>
      </c>
      <c r="K41" s="16">
        <f t="shared" si="1"/>
        <v>133.33333333333334</v>
      </c>
      <c r="L41" s="15">
        <v>18</v>
      </c>
      <c r="M41" s="17">
        <f t="shared" si="28"/>
        <v>2303.0769230769233</v>
      </c>
      <c r="N41" s="16">
        <f t="shared" si="3"/>
        <v>127.94871794871796</v>
      </c>
      <c r="O41" s="18">
        <f t="shared" si="4"/>
        <v>0</v>
      </c>
      <c r="P41" s="19">
        <f t="shared" si="5"/>
        <v>-5.3846153846153868</v>
      </c>
      <c r="Q41" s="20">
        <f t="shared" si="6"/>
        <v>0.95961538461538465</v>
      </c>
      <c r="R41" s="170"/>
      <c r="S41" s="27">
        <v>0.5249999999999998</v>
      </c>
      <c r="T41" s="27">
        <v>0.58819444444444424</v>
      </c>
      <c r="U41" s="4">
        <f t="shared" si="30"/>
        <v>55.999999999999879</v>
      </c>
      <c r="V41" s="21">
        <f t="shared" si="29"/>
        <v>91</v>
      </c>
      <c r="W41" s="22"/>
      <c r="X41" s="22"/>
      <c r="Y41" s="22"/>
      <c r="Z41" s="22"/>
      <c r="AA41" s="162"/>
      <c r="AB41" s="162"/>
      <c r="AC41" s="24"/>
      <c r="AD41" s="24"/>
      <c r="AE41" s="18">
        <f t="shared" si="8"/>
        <v>-96.923076923076678</v>
      </c>
      <c r="AF41" s="20">
        <f t="shared" si="9"/>
        <v>0.95961538461538476</v>
      </c>
      <c r="AG41" s="170"/>
    </row>
    <row r="42" spans="1:33">
      <c r="A42" s="189" t="s">
        <v>2590</v>
      </c>
      <c r="B42" s="35" t="s">
        <v>97</v>
      </c>
      <c r="C42" s="163" t="s">
        <v>105</v>
      </c>
      <c r="D42" s="163"/>
      <c r="E42" s="35">
        <v>26.39</v>
      </c>
      <c r="F42" s="4">
        <v>2922</v>
      </c>
      <c r="G42" s="4">
        <f t="shared" si="27"/>
        <v>77111.58</v>
      </c>
      <c r="H42" s="21" t="s">
        <v>133</v>
      </c>
      <c r="I42" s="15">
        <v>19</v>
      </c>
      <c r="J42" s="17">
        <v>2400</v>
      </c>
      <c r="K42" s="16">
        <f t="shared" si="1"/>
        <v>126.31578947368421</v>
      </c>
      <c r="L42" s="15">
        <v>19</v>
      </c>
      <c r="M42" s="17">
        <f t="shared" si="28"/>
        <v>2306.8421052631561</v>
      </c>
      <c r="N42" s="16">
        <f t="shared" si="3"/>
        <v>121.41274238227138</v>
      </c>
      <c r="O42" s="18">
        <f t="shared" si="4"/>
        <v>0</v>
      </c>
      <c r="P42" s="19">
        <f t="shared" si="5"/>
        <v>-4.9030470914128301</v>
      </c>
      <c r="Q42" s="20">
        <f t="shared" si="6"/>
        <v>0.96118421052631509</v>
      </c>
      <c r="R42" s="170"/>
      <c r="S42" s="27">
        <v>0.59305555555555534</v>
      </c>
      <c r="T42" s="27">
        <v>0.64583333333333315</v>
      </c>
      <c r="U42" s="4">
        <f t="shared" si="30"/>
        <v>6.9999999999999751</v>
      </c>
      <c r="V42" s="21">
        <f t="shared" si="29"/>
        <v>76.000000000000057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-93.1578947368439</v>
      </c>
      <c r="AF42" s="20">
        <f t="shared" si="9"/>
        <v>0.96118421052631509</v>
      </c>
      <c r="AG42" s="170"/>
    </row>
    <row r="43" spans="1:33">
      <c r="A43" s="189" t="s">
        <v>2592</v>
      </c>
      <c r="B43" s="35" t="s">
        <v>97</v>
      </c>
      <c r="C43" s="163" t="s">
        <v>304</v>
      </c>
      <c r="D43" s="163"/>
      <c r="E43" s="35">
        <v>22.69</v>
      </c>
      <c r="F43" s="4">
        <v>2693</v>
      </c>
      <c r="G43" s="4">
        <f t="shared" si="27"/>
        <v>61104.170000000006</v>
      </c>
      <c r="H43" s="21" t="s">
        <v>133</v>
      </c>
      <c r="I43" s="15">
        <v>15</v>
      </c>
      <c r="J43" s="17">
        <v>2400</v>
      </c>
      <c r="K43" s="16">
        <f t="shared" si="1"/>
        <v>160</v>
      </c>
      <c r="L43" s="15">
        <v>15</v>
      </c>
      <c r="M43" s="17">
        <f t="shared" si="28"/>
        <v>2308.2857142857119</v>
      </c>
      <c r="N43" s="16">
        <f t="shared" si="3"/>
        <v>153.88571428571413</v>
      </c>
      <c r="O43" s="18">
        <f t="shared" si="4"/>
        <v>0</v>
      </c>
      <c r="P43" s="19">
        <f t="shared" si="5"/>
        <v>-6.1142857142858702</v>
      </c>
      <c r="Q43" s="20">
        <f t="shared" si="6"/>
        <v>0.96178571428571336</v>
      </c>
      <c r="R43" s="170"/>
      <c r="S43" s="27">
        <v>0.65138888888888868</v>
      </c>
      <c r="T43" s="27">
        <v>0.69999999999999984</v>
      </c>
      <c r="U43" s="4">
        <f t="shared" si="30"/>
        <v>7.9999999999999716</v>
      </c>
      <c r="V43" s="21">
        <f t="shared" si="29"/>
        <v>70.000000000000071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-91.714285714288053</v>
      </c>
      <c r="AF43" s="20">
        <f t="shared" si="9"/>
        <v>0.96178571428571336</v>
      </c>
      <c r="AG43" s="170"/>
    </row>
    <row r="44" spans="1:33">
      <c r="A44" s="189" t="s">
        <v>2592</v>
      </c>
      <c r="B44" s="16" t="s">
        <v>2593</v>
      </c>
      <c r="C44" s="171"/>
      <c r="D44" s="171"/>
      <c r="E44" s="36"/>
      <c r="F44" s="16"/>
      <c r="G44" s="16"/>
      <c r="H44" s="4"/>
      <c r="I44" s="29">
        <v>17.5</v>
      </c>
      <c r="J44" s="17">
        <v>2400</v>
      </c>
      <c r="K44" s="16">
        <f t="shared" si="1"/>
        <v>137.14285714285714</v>
      </c>
      <c r="L44" s="29">
        <v>17.5</v>
      </c>
      <c r="M44" s="17">
        <f>AVERAGE(M36:M43)</f>
        <v>2298.5194870708838</v>
      </c>
      <c r="N44" s="16">
        <f t="shared" si="3"/>
        <v>131.34397068976477</v>
      </c>
      <c r="O44" s="18">
        <f t="shared" si="4"/>
        <v>0</v>
      </c>
      <c r="P44" s="19">
        <f t="shared" si="5"/>
        <v>-5.7988864530923649</v>
      </c>
      <c r="Q44" s="20">
        <f t="shared" si="6"/>
        <v>0.95771645294620156</v>
      </c>
      <c r="R44" s="170"/>
      <c r="S44" s="27"/>
      <c r="T44" s="27"/>
      <c r="U44" s="16"/>
      <c r="V44" s="21"/>
      <c r="W44" s="16"/>
      <c r="X44" s="16"/>
      <c r="Y44" s="30">
        <f>SUM(Y36:Y43)</f>
        <v>0</v>
      </c>
      <c r="Z44" s="30">
        <f>SUM(Z36:Z43)</f>
        <v>0</v>
      </c>
      <c r="AA44" s="166"/>
      <c r="AB44" s="166"/>
      <c r="AC44" s="30">
        <v>8</v>
      </c>
      <c r="AD44" s="30">
        <f>SUM(AD36:AD43)</f>
        <v>0</v>
      </c>
      <c r="AE44" s="18">
        <f t="shared" si="8"/>
        <v>-101.48051292911623</v>
      </c>
      <c r="AF44" s="20">
        <f t="shared" si="9"/>
        <v>0.95771645294620156</v>
      </c>
      <c r="AG44" s="170"/>
    </row>
    <row r="45" spans="1:33" ht="15.75" customHeight="1">
      <c r="A45" s="182" t="s">
        <v>66</v>
      </c>
      <c r="B45" s="35" t="s">
        <v>108</v>
      </c>
      <c r="C45" s="174" t="s">
        <v>1514</v>
      </c>
      <c r="D45" s="175"/>
      <c r="E45" s="35">
        <v>34.35</v>
      </c>
      <c r="F45" s="4">
        <v>4025</v>
      </c>
      <c r="G45" s="4">
        <f t="shared" ref="G45:G49" si="31">E45*F45</f>
        <v>138258.75</v>
      </c>
      <c r="H45" s="21" t="s">
        <v>133</v>
      </c>
      <c r="I45" s="15">
        <v>8</v>
      </c>
      <c r="J45" s="17">
        <v>3000</v>
      </c>
      <c r="K45" s="16">
        <f t="shared" si="1"/>
        <v>375</v>
      </c>
      <c r="L45" s="15">
        <v>8</v>
      </c>
      <c r="M45" s="17">
        <f t="shared" ref="M45:M49" si="32">F45/V45*60</f>
        <v>2875</v>
      </c>
      <c r="N45" s="17">
        <f t="shared" si="3"/>
        <v>359.375</v>
      </c>
      <c r="O45" s="18">
        <f t="shared" si="4"/>
        <v>0</v>
      </c>
      <c r="P45" s="19">
        <f t="shared" si="5"/>
        <v>-15.625</v>
      </c>
      <c r="Q45" s="20">
        <f t="shared" si="6"/>
        <v>0.95833333333333337</v>
      </c>
      <c r="R45" s="185">
        <f>Q50</f>
        <v>0.95748854920601223</v>
      </c>
      <c r="S45" s="27">
        <v>8.3333333333333329E-2</v>
      </c>
      <c r="T45" s="27">
        <v>0.14166666666666666</v>
      </c>
      <c r="U45" s="27"/>
      <c r="V45" s="21">
        <f t="shared" ref="V45:V49" si="33">(T45-S45)*24*60</f>
        <v>84</v>
      </c>
      <c r="W45" s="22">
        <f>T45</f>
        <v>0.14166666666666666</v>
      </c>
      <c r="X45" s="22">
        <f>S46</f>
        <v>0.16041666666666668</v>
      </c>
      <c r="Y45" s="25"/>
      <c r="Z45" s="25"/>
      <c r="AA45" s="176"/>
      <c r="AB45" s="177"/>
      <c r="AC45" s="24">
        <v>5</v>
      </c>
      <c r="AD45" s="24"/>
      <c r="AE45" s="18">
        <f t="shared" si="8"/>
        <v>-125</v>
      </c>
      <c r="AF45" s="20">
        <f t="shared" si="9"/>
        <v>0.95833333333333337</v>
      </c>
      <c r="AG45" s="185">
        <f>AF50</f>
        <v>0.95748854920601212</v>
      </c>
    </row>
    <row r="46" spans="1:33" ht="15.75" customHeight="1">
      <c r="A46" s="183" t="s">
        <v>2594</v>
      </c>
      <c r="B46" s="35" t="s">
        <v>108</v>
      </c>
      <c r="C46" s="174" t="s">
        <v>111</v>
      </c>
      <c r="D46" s="175"/>
      <c r="E46" s="35">
        <v>21.13</v>
      </c>
      <c r="F46" s="4">
        <v>6443</v>
      </c>
      <c r="G46" s="4">
        <f t="shared" si="31"/>
        <v>136140.59</v>
      </c>
      <c r="H46" s="21" t="s">
        <v>133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2863.555555555557</v>
      </c>
      <c r="N46" s="17">
        <f t="shared" si="3"/>
        <v>286.35555555555572</v>
      </c>
      <c r="O46" s="18">
        <f t="shared" si="4"/>
        <v>0</v>
      </c>
      <c r="P46" s="19">
        <f t="shared" si="5"/>
        <v>-13.644444444444275</v>
      </c>
      <c r="Q46" s="20">
        <f t="shared" si="6"/>
        <v>0.9545185185185191</v>
      </c>
      <c r="R46" s="186"/>
      <c r="S46" s="27">
        <v>0.16041666666666668</v>
      </c>
      <c r="T46" s="27">
        <v>0.25416666666666665</v>
      </c>
      <c r="U46" s="4">
        <f t="shared" ref="U46:U49" si="34">(S46-T45)*24*60</f>
        <v>27.000000000000025</v>
      </c>
      <c r="V46" s="21">
        <f t="shared" si="33"/>
        <v>134.99999999999994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-136.44444444444298</v>
      </c>
      <c r="AF46" s="20">
        <f t="shared" si="9"/>
        <v>0.95451851851851899</v>
      </c>
      <c r="AG46" s="186"/>
    </row>
    <row r="47" spans="1:33" ht="15.75" customHeight="1">
      <c r="A47" s="183" t="s">
        <v>2595</v>
      </c>
      <c r="B47" s="35" t="s">
        <v>108</v>
      </c>
      <c r="C47" s="174" t="s">
        <v>112</v>
      </c>
      <c r="D47" s="175"/>
      <c r="E47" s="35">
        <v>27.17</v>
      </c>
      <c r="F47" s="4">
        <v>8537</v>
      </c>
      <c r="G47" s="4">
        <f t="shared" si="31"/>
        <v>231950.29</v>
      </c>
      <c r="H47" s="21" t="s">
        <v>133</v>
      </c>
      <c r="I47" s="15">
        <v>10</v>
      </c>
      <c r="J47" s="17">
        <v>3000</v>
      </c>
      <c r="K47" s="16">
        <f t="shared" si="1"/>
        <v>300</v>
      </c>
      <c r="L47" s="15">
        <v>10</v>
      </c>
      <c r="M47" s="17">
        <f t="shared" si="32"/>
        <v>2861.5642458100556</v>
      </c>
      <c r="N47" s="17">
        <f t="shared" si="3"/>
        <v>286.15642458100558</v>
      </c>
      <c r="O47" s="18">
        <f t="shared" si="4"/>
        <v>0</v>
      </c>
      <c r="P47" s="19">
        <f t="shared" si="5"/>
        <v>-13.843575418994419</v>
      </c>
      <c r="Q47" s="20">
        <f t="shared" si="6"/>
        <v>0.95385474860335195</v>
      </c>
      <c r="R47" s="186"/>
      <c r="S47" s="27">
        <v>0.2583333333333333</v>
      </c>
      <c r="T47" s="27">
        <v>0.38263888888888886</v>
      </c>
      <c r="U47" s="4">
        <f t="shared" si="34"/>
        <v>5.9999999999999787</v>
      </c>
      <c r="V47" s="21">
        <f t="shared" si="33"/>
        <v>179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-138.43575418994442</v>
      </c>
      <c r="AF47" s="20">
        <f t="shared" si="9"/>
        <v>0.95385474860335184</v>
      </c>
      <c r="AG47" s="186"/>
    </row>
    <row r="48" spans="1:33" ht="15.75" customHeight="1">
      <c r="A48" s="183" t="s">
        <v>66</v>
      </c>
      <c r="B48" s="35" t="s">
        <v>108</v>
      </c>
      <c r="C48" s="174" t="s">
        <v>305</v>
      </c>
      <c r="D48" s="175"/>
      <c r="E48" s="35">
        <v>28.3</v>
      </c>
      <c r="F48" s="4">
        <v>2494</v>
      </c>
      <c r="G48" s="4">
        <f t="shared" si="31"/>
        <v>70580.2</v>
      </c>
      <c r="H48" s="21" t="s">
        <v>133</v>
      </c>
      <c r="I48" s="15">
        <v>8</v>
      </c>
      <c r="J48" s="17">
        <v>3000</v>
      </c>
      <c r="K48" s="16">
        <f t="shared" si="1"/>
        <v>375</v>
      </c>
      <c r="L48" s="15">
        <v>8</v>
      </c>
      <c r="M48" s="17">
        <f t="shared" si="32"/>
        <v>2877.6923076923094</v>
      </c>
      <c r="N48" s="17">
        <f t="shared" si="3"/>
        <v>359.71153846153868</v>
      </c>
      <c r="O48" s="18">
        <f t="shared" si="4"/>
        <v>0</v>
      </c>
      <c r="P48" s="19">
        <f t="shared" si="5"/>
        <v>-15.28846153846132</v>
      </c>
      <c r="Q48" s="20">
        <f t="shared" si="6"/>
        <v>0.95923076923076978</v>
      </c>
      <c r="R48" s="186"/>
      <c r="S48" s="27">
        <v>0.3881944444444444</v>
      </c>
      <c r="T48" s="27">
        <v>0.42430555555555549</v>
      </c>
      <c r="U48" s="4">
        <f t="shared" si="34"/>
        <v>7.9999999999999716</v>
      </c>
      <c r="V48" s="21">
        <f t="shared" si="33"/>
        <v>51.999999999999972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-122.30769230769056</v>
      </c>
      <c r="AF48" s="20">
        <f t="shared" si="9"/>
        <v>0.95923076923076978</v>
      </c>
      <c r="AG48" s="186"/>
    </row>
    <row r="49" spans="1:33" ht="15.75" customHeight="1">
      <c r="A49" s="183" t="s">
        <v>2594</v>
      </c>
      <c r="B49" s="35" t="s">
        <v>108</v>
      </c>
      <c r="C49" s="174" t="s">
        <v>113</v>
      </c>
      <c r="D49" s="175"/>
      <c r="E49" s="35">
        <v>35.869999999999997</v>
      </c>
      <c r="F49" s="4">
        <v>4471</v>
      </c>
      <c r="G49" s="4">
        <f t="shared" si="31"/>
        <v>160374.76999999999</v>
      </c>
      <c r="H49" s="21" t="s">
        <v>133</v>
      </c>
      <c r="I49" s="15">
        <v>9</v>
      </c>
      <c r="J49" s="17">
        <v>3000</v>
      </c>
      <c r="K49" s="16">
        <f t="shared" si="1"/>
        <v>333.33333333333331</v>
      </c>
      <c r="L49" s="15">
        <v>9</v>
      </c>
      <c r="M49" s="17">
        <f t="shared" si="32"/>
        <v>2884.5161290322585</v>
      </c>
      <c r="N49" s="17">
        <f t="shared" si="3"/>
        <v>320.50179211469538</v>
      </c>
      <c r="O49" s="18">
        <f t="shared" si="4"/>
        <v>0</v>
      </c>
      <c r="P49" s="19">
        <f t="shared" si="5"/>
        <v>-12.831541218637938</v>
      </c>
      <c r="Q49" s="20">
        <f t="shared" si="6"/>
        <v>0.96150537634408617</v>
      </c>
      <c r="R49" s="186"/>
      <c r="S49" s="27">
        <v>0.42986111111111103</v>
      </c>
      <c r="T49" s="27">
        <v>0.49444444444444435</v>
      </c>
      <c r="U49" s="4">
        <f t="shared" si="34"/>
        <v>7.9999999999999716</v>
      </c>
      <c r="V49" s="21">
        <f t="shared" si="33"/>
        <v>92.999999999999986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-115.4838709677415</v>
      </c>
      <c r="AF49" s="20">
        <f t="shared" si="9"/>
        <v>0.96150537634408617</v>
      </c>
      <c r="AG49" s="186"/>
    </row>
    <row r="50" spans="1:33" ht="15.75" customHeight="1">
      <c r="A50" s="184" t="s">
        <v>2594</v>
      </c>
      <c r="B50" s="35" t="s">
        <v>48</v>
      </c>
      <c r="C50" s="164"/>
      <c r="D50" s="165"/>
      <c r="E50" s="37"/>
      <c r="F50" s="4"/>
      <c r="G50" s="4"/>
      <c r="H50" s="4"/>
      <c r="I50" s="29">
        <v>9</v>
      </c>
      <c r="J50" s="17">
        <v>3000</v>
      </c>
      <c r="K50" s="16">
        <f t="shared" si="1"/>
        <v>333.33333333333331</v>
      </c>
      <c r="L50" s="29">
        <v>9</v>
      </c>
      <c r="M50" s="17">
        <f>AVERAGE(M45:M49)</f>
        <v>2872.4656476180362</v>
      </c>
      <c r="N50" s="16">
        <f t="shared" si="3"/>
        <v>319.16284973533737</v>
      </c>
      <c r="O50" s="18">
        <f t="shared" si="4"/>
        <v>0</v>
      </c>
      <c r="P50" s="19">
        <f t="shared" si="5"/>
        <v>-14.17048359799594</v>
      </c>
      <c r="Q50" s="20">
        <f t="shared" si="6"/>
        <v>0.95748854920601223</v>
      </c>
      <c r="R50" s="187"/>
      <c r="S50" s="27"/>
      <c r="T50" s="27"/>
      <c r="U50" s="4"/>
      <c r="V50" s="21"/>
      <c r="W50" s="22"/>
      <c r="X50" s="22"/>
      <c r="Y50" s="30">
        <f>SUM(Y45:Y49)</f>
        <v>0</v>
      </c>
      <c r="Z50" s="30">
        <f>SUM(Z45:Z49)</f>
        <v>0</v>
      </c>
      <c r="AA50" s="180"/>
      <c r="AB50" s="181"/>
      <c r="AC50" s="30">
        <v>5</v>
      </c>
      <c r="AD50" s="30">
        <f>SUM(AD45:AD49)</f>
        <v>0</v>
      </c>
      <c r="AE50" s="18">
        <f t="shared" si="8"/>
        <v>-127.5343523819638</v>
      </c>
      <c r="AF50" s="20">
        <f t="shared" si="9"/>
        <v>0.95748854920601212</v>
      </c>
      <c r="AG50" s="187"/>
    </row>
    <row r="51" spans="1:33" ht="15.75" customHeight="1">
      <c r="A51" s="178" t="s">
        <v>2596</v>
      </c>
      <c r="B51" s="35" t="s">
        <v>84</v>
      </c>
      <c r="C51" s="163" t="s">
        <v>114</v>
      </c>
      <c r="D51" s="163"/>
      <c r="E51" s="35">
        <v>46</v>
      </c>
      <c r="F51" s="38">
        <v>2614</v>
      </c>
      <c r="G51" s="4">
        <f t="shared" ref="G51:G58" si="35">E51*F51</f>
        <v>120244</v>
      </c>
      <c r="H51" s="21" t="s">
        <v>133</v>
      </c>
      <c r="I51" s="15">
        <v>17</v>
      </c>
      <c r="J51" s="17">
        <v>2000</v>
      </c>
      <c r="K51" s="16">
        <f t="shared" si="1"/>
        <v>117.64705882352941</v>
      </c>
      <c r="L51" s="15">
        <v>17</v>
      </c>
      <c r="M51" s="17">
        <f t="shared" ref="M51" si="36">F51/V51*60</f>
        <v>1912.6829268292686</v>
      </c>
      <c r="N51" s="17">
        <f t="shared" si="3"/>
        <v>112.51076040172168</v>
      </c>
      <c r="O51" s="18">
        <f t="shared" si="4"/>
        <v>0</v>
      </c>
      <c r="P51" s="19">
        <f t="shared" si="5"/>
        <v>-5.136298421807723</v>
      </c>
      <c r="Q51" s="20">
        <f t="shared" si="6"/>
        <v>0.95634146341463433</v>
      </c>
      <c r="R51" s="170">
        <f>Q59</f>
        <v>0.95744351855043519</v>
      </c>
      <c r="S51" s="27">
        <v>0.20833333333333334</v>
      </c>
      <c r="T51" s="27">
        <v>0.26527777777777778</v>
      </c>
      <c r="U51" s="27"/>
      <c r="V51" s="21">
        <f t="shared" ref="V51:V58" si="37">(T51-S51)*24*60</f>
        <v>81.999999999999986</v>
      </c>
      <c r="W51" s="27"/>
      <c r="X51" s="27"/>
      <c r="Y51" s="27"/>
      <c r="Z51" s="27"/>
      <c r="AA51" s="162"/>
      <c r="AB51" s="162"/>
      <c r="AC51" s="24">
        <v>8</v>
      </c>
      <c r="AD51" s="24"/>
      <c r="AE51" s="18">
        <f t="shared" si="8"/>
        <v>-87.317073170731419</v>
      </c>
      <c r="AF51" s="20">
        <f t="shared" si="9"/>
        <v>0.95634146341463433</v>
      </c>
      <c r="AG51" s="170">
        <f>AF59</f>
        <v>0.95744351855043519</v>
      </c>
    </row>
    <row r="52" spans="1:33" ht="15.75" customHeight="1">
      <c r="A52" s="178" t="s">
        <v>2597</v>
      </c>
      <c r="B52" s="35" t="s">
        <v>78</v>
      </c>
      <c r="C52" s="163" t="s">
        <v>115</v>
      </c>
      <c r="D52" s="163"/>
      <c r="E52" s="35">
        <v>56.43</v>
      </c>
      <c r="F52" s="38">
        <v>1875</v>
      </c>
      <c r="G52" s="4">
        <f t="shared" si="35"/>
        <v>105806.25</v>
      </c>
      <c r="H52" s="21" t="s">
        <v>133</v>
      </c>
      <c r="I52" s="15">
        <v>22</v>
      </c>
      <c r="J52" s="17">
        <v>2000</v>
      </c>
      <c r="K52" s="16">
        <f t="shared" si="1"/>
        <v>90.909090909090907</v>
      </c>
      <c r="L52" s="15">
        <v>22</v>
      </c>
      <c r="M52" s="17">
        <f>F52/V52*60</f>
        <v>1906.7796610169482</v>
      </c>
      <c r="N52" s="17">
        <f t="shared" si="3"/>
        <v>86.671802773497646</v>
      </c>
      <c r="O52" s="18">
        <f t="shared" si="4"/>
        <v>0</v>
      </c>
      <c r="P52" s="19">
        <f t="shared" si="5"/>
        <v>-4.2372881355932606</v>
      </c>
      <c r="Q52" s="20">
        <f t="shared" si="6"/>
        <v>0.95338983050847415</v>
      </c>
      <c r="R52" s="170"/>
      <c r="S52" s="27">
        <v>0.27083333333333331</v>
      </c>
      <c r="T52" s="27">
        <v>0.31180555555555556</v>
      </c>
      <c r="U52" s="4">
        <f t="shared" ref="U52:U58" si="38">IF(S52=TIME(17,0,0),"",(S52-T51)*24*60)</f>
        <v>7.9999999999999716</v>
      </c>
      <c r="V52" s="21">
        <f t="shared" si="37"/>
        <v>59.000000000000028</v>
      </c>
      <c r="W52" s="22"/>
      <c r="X52" s="22"/>
      <c r="Y52" s="22"/>
      <c r="Z52" s="22"/>
      <c r="AA52" s="162"/>
      <c r="AB52" s="162"/>
      <c r="AC52" s="24"/>
      <c r="AD52" s="24"/>
      <c r="AE52" s="18">
        <f t="shared" si="8"/>
        <v>-93.220338983051761</v>
      </c>
      <c r="AF52" s="20">
        <f t="shared" si="9"/>
        <v>0.95338983050847415</v>
      </c>
      <c r="AG52" s="170"/>
    </row>
    <row r="53" spans="1:33" ht="15.75" customHeight="1">
      <c r="A53" s="178" t="s">
        <v>2597</v>
      </c>
      <c r="B53" s="35" t="s">
        <v>78</v>
      </c>
      <c r="C53" s="174" t="s">
        <v>116</v>
      </c>
      <c r="D53" s="175"/>
      <c r="E53" s="35">
        <v>51.75</v>
      </c>
      <c r="F53" s="38">
        <v>1235</v>
      </c>
      <c r="G53" s="4">
        <f t="shared" si="35"/>
        <v>63911.25</v>
      </c>
      <c r="H53" s="21" t="s">
        <v>133</v>
      </c>
      <c r="I53" s="15">
        <v>25</v>
      </c>
      <c r="J53" s="17">
        <v>2000</v>
      </c>
      <c r="K53" s="16">
        <f t="shared" si="1"/>
        <v>80</v>
      </c>
      <c r="L53" s="15">
        <v>25</v>
      </c>
      <c r="M53" s="17">
        <f t="shared" ref="M53:M58" si="39">F53/V53*60</f>
        <v>1899.9999999999991</v>
      </c>
      <c r="N53" s="17">
        <f t="shared" si="3"/>
        <v>75.999999999999957</v>
      </c>
      <c r="O53" s="18">
        <f t="shared" si="4"/>
        <v>0</v>
      </c>
      <c r="P53" s="19">
        <f t="shared" si="5"/>
        <v>-4.0000000000000426</v>
      </c>
      <c r="Q53" s="20">
        <f t="shared" si="6"/>
        <v>0.94999999999999951</v>
      </c>
      <c r="R53" s="170"/>
      <c r="S53" s="27">
        <v>0.31597222222222221</v>
      </c>
      <c r="T53" s="27">
        <v>0.34305555555555556</v>
      </c>
      <c r="U53" s="4">
        <f t="shared" si="38"/>
        <v>5.9999999999999787</v>
      </c>
      <c r="V53" s="21">
        <f t="shared" si="37"/>
        <v>39.000000000000021</v>
      </c>
      <c r="W53" s="22"/>
      <c r="X53" s="22"/>
      <c r="Y53" s="25"/>
      <c r="Z53" s="25"/>
      <c r="AA53" s="162"/>
      <c r="AB53" s="162"/>
      <c r="AC53" s="24"/>
      <c r="AD53" s="24"/>
      <c r="AE53" s="18">
        <f t="shared" si="8"/>
        <v>-100.00000000000091</v>
      </c>
      <c r="AF53" s="20">
        <f t="shared" si="9"/>
        <v>0.94999999999999951</v>
      </c>
      <c r="AG53" s="170"/>
    </row>
    <row r="54" spans="1:33" ht="15.75" customHeight="1">
      <c r="A54" s="178" t="s">
        <v>2598</v>
      </c>
      <c r="B54" s="35" t="s">
        <v>78</v>
      </c>
      <c r="C54" s="39" t="s">
        <v>118</v>
      </c>
      <c r="D54" s="40"/>
      <c r="E54" s="35">
        <v>57.73</v>
      </c>
      <c r="F54" s="38">
        <v>1176</v>
      </c>
      <c r="G54" s="4">
        <f t="shared" si="35"/>
        <v>67890.48</v>
      </c>
      <c r="H54" s="21" t="s">
        <v>133</v>
      </c>
      <c r="I54" s="15">
        <v>16</v>
      </c>
      <c r="J54" s="17">
        <v>1500</v>
      </c>
      <c r="K54" s="16">
        <f t="shared" si="1"/>
        <v>93.75</v>
      </c>
      <c r="L54" s="15">
        <v>16</v>
      </c>
      <c r="M54" s="17">
        <f t="shared" si="39"/>
        <v>1440.0000000000005</v>
      </c>
      <c r="N54" s="17">
        <f t="shared" si="3"/>
        <v>90.000000000000028</v>
      </c>
      <c r="O54" s="18">
        <f t="shared" si="4"/>
        <v>0</v>
      </c>
      <c r="P54" s="19">
        <f t="shared" si="5"/>
        <v>-3.7499999999999716</v>
      </c>
      <c r="Q54" s="20">
        <f t="shared" si="6"/>
        <v>0.9600000000000003</v>
      </c>
      <c r="R54" s="170"/>
      <c r="S54" s="27">
        <v>0.70833333333333337</v>
      </c>
      <c r="T54" s="27">
        <v>0.74236111111111114</v>
      </c>
      <c r="U54" s="4" t="str">
        <f t="shared" si="38"/>
        <v/>
      </c>
      <c r="V54" s="21">
        <f t="shared" si="37"/>
        <v>48.999999999999986</v>
      </c>
      <c r="W54" s="22"/>
      <c r="X54" s="22"/>
      <c r="Y54" s="25"/>
      <c r="Z54" s="25"/>
      <c r="AA54" s="162"/>
      <c r="AB54" s="162"/>
      <c r="AC54" s="24"/>
      <c r="AD54" s="24"/>
      <c r="AE54" s="18">
        <f t="shared" si="8"/>
        <v>-59.999999999999545</v>
      </c>
      <c r="AF54" s="20">
        <f t="shared" si="9"/>
        <v>0.9600000000000003</v>
      </c>
      <c r="AG54" s="170"/>
    </row>
    <row r="55" spans="1:33" ht="15.75" customHeight="1">
      <c r="A55" s="178" t="s">
        <v>2599</v>
      </c>
      <c r="B55" s="35" t="s">
        <v>78</v>
      </c>
      <c r="C55" s="39" t="s">
        <v>119</v>
      </c>
      <c r="D55" s="40"/>
      <c r="E55" s="35">
        <v>54.29</v>
      </c>
      <c r="F55" s="38">
        <v>1430</v>
      </c>
      <c r="G55" s="4">
        <f t="shared" si="35"/>
        <v>77634.7</v>
      </c>
      <c r="H55" s="21" t="s">
        <v>133</v>
      </c>
      <c r="I55" s="15">
        <v>20</v>
      </c>
      <c r="J55" s="17">
        <v>2000</v>
      </c>
      <c r="K55" s="16">
        <f t="shared" si="1"/>
        <v>100</v>
      </c>
      <c r="L55" s="15">
        <v>20</v>
      </c>
      <c r="M55" s="17">
        <f t="shared" si="39"/>
        <v>1906.6666666666667</v>
      </c>
      <c r="N55" s="17">
        <f t="shared" si="3"/>
        <v>95.333333333333343</v>
      </c>
      <c r="O55" s="18">
        <f t="shared" si="4"/>
        <v>0</v>
      </c>
      <c r="P55" s="19">
        <f t="shared" si="5"/>
        <v>-4.6666666666666572</v>
      </c>
      <c r="Q55" s="20">
        <f t="shared" si="6"/>
        <v>0.95333333333333348</v>
      </c>
      <c r="R55" s="170"/>
      <c r="S55" s="27">
        <v>0.74791666666666667</v>
      </c>
      <c r="T55" s="27">
        <v>0.77916666666666667</v>
      </c>
      <c r="U55" s="4">
        <f t="shared" si="38"/>
        <v>7.9999999999999716</v>
      </c>
      <c r="V55" s="21">
        <f t="shared" si="37"/>
        <v>45</v>
      </c>
      <c r="W55" s="22"/>
      <c r="X55" s="22"/>
      <c r="Y55" s="25"/>
      <c r="Z55" s="25"/>
      <c r="AA55" s="162"/>
      <c r="AB55" s="162"/>
      <c r="AC55" s="24"/>
      <c r="AD55" s="24"/>
      <c r="AE55" s="18">
        <f t="shared" si="8"/>
        <v>-93.333333333333258</v>
      </c>
      <c r="AF55" s="20">
        <f t="shared" si="9"/>
        <v>0.95333333333333337</v>
      </c>
      <c r="AG55" s="170"/>
    </row>
    <row r="56" spans="1:33" ht="15.75" customHeight="1">
      <c r="A56" s="178" t="s">
        <v>2600</v>
      </c>
      <c r="B56" s="35" t="s">
        <v>78</v>
      </c>
      <c r="C56" s="174" t="s">
        <v>120</v>
      </c>
      <c r="D56" s="175"/>
      <c r="E56" s="35">
        <v>55.56</v>
      </c>
      <c r="F56" s="38">
        <v>800</v>
      </c>
      <c r="G56" s="4">
        <f t="shared" si="35"/>
        <v>44448</v>
      </c>
      <c r="H56" s="21">
        <v>2</v>
      </c>
      <c r="I56" s="15">
        <v>17</v>
      </c>
      <c r="J56" s="17">
        <v>2000</v>
      </c>
      <c r="K56" s="16">
        <f t="shared" si="1"/>
        <v>117.64705882352941</v>
      </c>
      <c r="L56" s="15">
        <v>17</v>
      </c>
      <c r="M56" s="17">
        <f t="shared" si="39"/>
        <v>1919.9999999999945</v>
      </c>
      <c r="N56" s="17">
        <f t="shared" si="3"/>
        <v>112.94117647058792</v>
      </c>
      <c r="O56" s="18">
        <f t="shared" si="4"/>
        <v>0</v>
      </c>
      <c r="P56" s="19">
        <f t="shared" si="5"/>
        <v>-4.7058823529414866</v>
      </c>
      <c r="Q56" s="20">
        <f t="shared" si="6"/>
        <v>0.95999999999999741</v>
      </c>
      <c r="R56" s="170"/>
      <c r="S56" s="27">
        <v>0.78333333333333333</v>
      </c>
      <c r="T56" s="27">
        <v>0.80069444444444449</v>
      </c>
      <c r="U56" s="4">
        <f t="shared" si="38"/>
        <v>5.9999999999999787</v>
      </c>
      <c r="V56" s="21">
        <f t="shared" si="37"/>
        <v>25.000000000000071</v>
      </c>
      <c r="W56" s="22"/>
      <c r="X56" s="22"/>
      <c r="Y56" s="25"/>
      <c r="Z56" s="25"/>
      <c r="AA56" s="176"/>
      <c r="AB56" s="177"/>
      <c r="AC56" s="24"/>
      <c r="AD56" s="24"/>
      <c r="AE56" s="18">
        <f t="shared" si="8"/>
        <v>-80.000000000005457</v>
      </c>
      <c r="AF56" s="20">
        <f t="shared" si="9"/>
        <v>0.9599999999999973</v>
      </c>
      <c r="AG56" s="170"/>
    </row>
    <row r="57" spans="1:33" ht="15.75" customHeight="1">
      <c r="A57" s="178" t="s">
        <v>2597</v>
      </c>
      <c r="B57" s="35" t="s">
        <v>78</v>
      </c>
      <c r="C57" s="174" t="s">
        <v>121</v>
      </c>
      <c r="D57" s="175"/>
      <c r="E57" s="35">
        <v>55.32</v>
      </c>
      <c r="F57" s="38">
        <v>1713</v>
      </c>
      <c r="G57" s="4">
        <f t="shared" si="35"/>
        <v>94763.16</v>
      </c>
      <c r="H57" s="21" t="s">
        <v>133</v>
      </c>
      <c r="I57" s="15">
        <v>15</v>
      </c>
      <c r="J57" s="17">
        <v>2000</v>
      </c>
      <c r="K57" s="16">
        <f t="shared" si="1"/>
        <v>133.33333333333334</v>
      </c>
      <c r="L57" s="15">
        <v>15</v>
      </c>
      <c r="M57" s="17">
        <f t="shared" si="39"/>
        <v>1939.245283018869</v>
      </c>
      <c r="N57" s="17">
        <f t="shared" si="3"/>
        <v>129.2830188679246</v>
      </c>
      <c r="O57" s="18">
        <f t="shared" si="4"/>
        <v>0</v>
      </c>
      <c r="P57" s="19">
        <f t="shared" si="5"/>
        <v>-4.0503144654087464</v>
      </c>
      <c r="Q57" s="20">
        <f t="shared" si="6"/>
        <v>0.96962264150943445</v>
      </c>
      <c r="R57" s="170"/>
      <c r="S57" s="27">
        <v>0.80555555555555558</v>
      </c>
      <c r="T57" s="27">
        <v>0.84236111111111112</v>
      </c>
      <c r="U57" s="4">
        <f t="shared" si="38"/>
        <v>6.9999999999999751</v>
      </c>
      <c r="V57" s="21">
        <f t="shared" si="37"/>
        <v>52.999999999999972</v>
      </c>
      <c r="W57" s="22">
        <f>T57</f>
        <v>0.84236111111111112</v>
      </c>
      <c r="X57" s="22">
        <f>S58</f>
        <v>0.8833333333333333</v>
      </c>
      <c r="Y57" s="25"/>
      <c r="Z57" s="25"/>
      <c r="AA57" s="176"/>
      <c r="AB57" s="177"/>
      <c r="AC57" s="24"/>
      <c r="AD57" s="24"/>
      <c r="AE57" s="18">
        <f t="shared" si="8"/>
        <v>-60.754716981130969</v>
      </c>
      <c r="AF57" s="20">
        <f t="shared" si="9"/>
        <v>0.96962264150943456</v>
      </c>
      <c r="AG57" s="170"/>
    </row>
    <row r="58" spans="1:33" ht="15.75" customHeight="1">
      <c r="A58" s="178" t="s">
        <v>2597</v>
      </c>
      <c r="B58" s="35" t="s">
        <v>78</v>
      </c>
      <c r="C58" s="174" t="s">
        <v>120</v>
      </c>
      <c r="D58" s="175"/>
      <c r="E58" s="35">
        <v>55.56</v>
      </c>
      <c r="F58" s="38">
        <v>1532</v>
      </c>
      <c r="G58" s="4">
        <f t="shared" si="35"/>
        <v>85117.92</v>
      </c>
      <c r="H58" s="21" t="s">
        <v>133</v>
      </c>
      <c r="I58" s="15">
        <v>17</v>
      </c>
      <c r="J58" s="17">
        <v>2000</v>
      </c>
      <c r="K58" s="16">
        <f t="shared" si="1"/>
        <v>117.64705882352941</v>
      </c>
      <c r="L58" s="15">
        <v>17</v>
      </c>
      <c r="M58" s="17">
        <f t="shared" si="39"/>
        <v>1915.0000000000005</v>
      </c>
      <c r="N58" s="17">
        <f t="shared" si="3"/>
        <v>112.64705882352943</v>
      </c>
      <c r="O58" s="18">
        <f t="shared" si="4"/>
        <v>0</v>
      </c>
      <c r="P58" s="19">
        <f t="shared" si="5"/>
        <v>-4.9999999999999716</v>
      </c>
      <c r="Q58" s="20">
        <f t="shared" si="6"/>
        <v>0.95750000000000024</v>
      </c>
      <c r="R58" s="170"/>
      <c r="S58" s="27">
        <v>0.8833333333333333</v>
      </c>
      <c r="T58" s="27">
        <v>0.91666666666666663</v>
      </c>
      <c r="U58" s="4">
        <f t="shared" si="38"/>
        <v>58.99999999999995</v>
      </c>
      <c r="V58" s="21">
        <f t="shared" si="37"/>
        <v>47.999999999999986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8"/>
        <v>-84.999999999999545</v>
      </c>
      <c r="AF58" s="20">
        <f t="shared" si="9"/>
        <v>0.95750000000000024</v>
      </c>
      <c r="AG58" s="170"/>
    </row>
    <row r="59" spans="1:33">
      <c r="A59" s="179" t="s">
        <v>2599</v>
      </c>
      <c r="B59" s="35" t="s">
        <v>2601</v>
      </c>
      <c r="C59" s="171"/>
      <c r="D59" s="171"/>
      <c r="E59" s="36"/>
      <c r="F59" s="16"/>
      <c r="G59" s="16"/>
      <c r="H59" s="4"/>
      <c r="I59" s="29">
        <v>18.625</v>
      </c>
      <c r="J59" s="17">
        <v>1937.5</v>
      </c>
      <c r="K59" s="16">
        <f t="shared" si="1"/>
        <v>104.02684563758389</v>
      </c>
      <c r="L59" s="29">
        <v>18.625</v>
      </c>
      <c r="M59" s="17">
        <f>AVERAGE(M51:M58)</f>
        <v>1855.0468171914681</v>
      </c>
      <c r="N59" s="16">
        <f t="shared" si="3"/>
        <v>99.599829110951305</v>
      </c>
      <c r="O59" s="18">
        <f t="shared" si="4"/>
        <v>0</v>
      </c>
      <c r="P59" s="19">
        <f t="shared" si="5"/>
        <v>-4.4270165266325847</v>
      </c>
      <c r="Q59" s="20">
        <f t="shared" si="6"/>
        <v>0.95744351855043519</v>
      </c>
      <c r="R59" s="170"/>
      <c r="S59" s="27"/>
      <c r="T59" s="27"/>
      <c r="U59" s="4"/>
      <c r="V59" s="21"/>
      <c r="W59" s="16"/>
      <c r="X59" s="16"/>
      <c r="Y59" s="30">
        <f>SUM(Y51:Y58)</f>
        <v>0</v>
      </c>
      <c r="Z59" s="30">
        <f>SUM(Z51:Z58)</f>
        <v>0</v>
      </c>
      <c r="AA59" s="166"/>
      <c r="AB59" s="166"/>
      <c r="AC59" s="30">
        <v>8</v>
      </c>
      <c r="AD59" s="30">
        <f>SUM(AD51:AD58)</f>
        <v>0</v>
      </c>
      <c r="AE59" s="18">
        <f>M59-J59</f>
        <v>-82.453182808531892</v>
      </c>
      <c r="AF59" s="20">
        <f t="shared" si="9"/>
        <v>0.95744351855043519</v>
      </c>
      <c r="AG59" s="170"/>
    </row>
    <row r="60" spans="1:33" ht="15.75" customHeight="1">
      <c r="A60" s="172" t="s">
        <v>2602</v>
      </c>
      <c r="B60" s="4" t="s">
        <v>108</v>
      </c>
      <c r="C60" s="163" t="s">
        <v>125</v>
      </c>
      <c r="D60" s="163"/>
      <c r="E60" s="35">
        <v>37.85</v>
      </c>
      <c r="F60" s="38">
        <v>1422</v>
      </c>
      <c r="G60" s="4">
        <f t="shared" ref="G60:G64" si="40">E60*F60</f>
        <v>53822.700000000004</v>
      </c>
      <c r="H60" s="21" t="s">
        <v>133</v>
      </c>
      <c r="I60" s="15">
        <v>12</v>
      </c>
      <c r="J60" s="17">
        <v>2000</v>
      </c>
      <c r="K60" s="16">
        <f t="shared" si="1"/>
        <v>166.66666666666666</v>
      </c>
      <c r="L60" s="15">
        <v>12</v>
      </c>
      <c r="M60" s="17">
        <f t="shared" ref="M60:M64" si="41">F60/V60*60</f>
        <v>1939.0909090909092</v>
      </c>
      <c r="N60" s="16">
        <f t="shared" si="3"/>
        <v>161.59090909090909</v>
      </c>
      <c r="O60" s="18">
        <f t="shared" si="4"/>
        <v>0</v>
      </c>
      <c r="P60" s="19">
        <f t="shared" si="5"/>
        <v>-5.0757575757575637</v>
      </c>
      <c r="Q60" s="20">
        <f t="shared" si="6"/>
        <v>0.9695454545454546</v>
      </c>
      <c r="R60" s="170">
        <f>Q65</f>
        <v>0.96307788397408578</v>
      </c>
      <c r="S60" s="27">
        <v>0.20833333333333334</v>
      </c>
      <c r="T60" s="27">
        <v>0.2388888888888889</v>
      </c>
      <c r="U60" s="4"/>
      <c r="V60" s="21">
        <f t="shared" ref="V60:V64" si="42">(T60-S60)*24*60</f>
        <v>44</v>
      </c>
      <c r="W60" s="27"/>
      <c r="X60" s="27"/>
      <c r="Y60" s="27"/>
      <c r="Z60" s="27"/>
      <c r="AA60" s="162"/>
      <c r="AB60" s="162"/>
      <c r="AC60" s="24">
        <v>5</v>
      </c>
      <c r="AD60" s="24"/>
      <c r="AE60" s="18">
        <f t="shared" ref="AE60:AE73" si="43">M60-J60</f>
        <v>-60.909090909090764</v>
      </c>
      <c r="AF60" s="20">
        <f t="shared" si="9"/>
        <v>0.9695454545454546</v>
      </c>
      <c r="AG60" s="170">
        <f>AF65</f>
        <v>0.96307788397408589</v>
      </c>
    </row>
    <row r="61" spans="1:33" ht="15.75" customHeight="1">
      <c r="A61" s="172" t="s">
        <v>2603</v>
      </c>
      <c r="B61" s="4" t="s">
        <v>108</v>
      </c>
      <c r="C61" s="163" t="s">
        <v>126</v>
      </c>
      <c r="D61" s="163"/>
      <c r="E61" s="35">
        <v>34.36</v>
      </c>
      <c r="F61" s="38">
        <v>2271</v>
      </c>
      <c r="G61" s="4">
        <f t="shared" si="40"/>
        <v>78031.56</v>
      </c>
      <c r="H61" s="21" t="s">
        <v>133</v>
      </c>
      <c r="I61" s="15">
        <v>10</v>
      </c>
      <c r="J61" s="17">
        <v>3000</v>
      </c>
      <c r="K61" s="16">
        <f t="shared" si="1"/>
        <v>300</v>
      </c>
      <c r="L61" s="15">
        <v>10</v>
      </c>
      <c r="M61" s="17">
        <f t="shared" si="41"/>
        <v>2899.1489361702102</v>
      </c>
      <c r="N61" s="16">
        <f t="shared" si="3"/>
        <v>289.91489361702099</v>
      </c>
      <c r="O61" s="18">
        <f t="shared" si="4"/>
        <v>0</v>
      </c>
      <c r="P61" s="19">
        <f t="shared" si="5"/>
        <v>-10.085106382979006</v>
      </c>
      <c r="Q61" s="20">
        <f t="shared" si="6"/>
        <v>0.96638297872340329</v>
      </c>
      <c r="R61" s="170"/>
      <c r="S61" s="27">
        <v>0.24236111111111111</v>
      </c>
      <c r="T61" s="27">
        <v>0.27500000000000002</v>
      </c>
      <c r="U61" s="4">
        <f t="shared" ref="U61:U64" si="44">(S61-T60)*24*60</f>
        <v>4.9999999999999822</v>
      </c>
      <c r="V61" s="21">
        <f t="shared" si="42"/>
        <v>47.000000000000036</v>
      </c>
      <c r="W61" s="4"/>
      <c r="X61" s="4"/>
      <c r="Y61" s="4"/>
      <c r="Z61" s="4"/>
      <c r="AA61" s="162"/>
      <c r="AB61" s="162"/>
      <c r="AC61" s="24"/>
      <c r="AD61" s="24"/>
      <c r="AE61" s="18">
        <f t="shared" si="43"/>
        <v>-100.85106382978984</v>
      </c>
      <c r="AF61" s="20">
        <f t="shared" si="9"/>
        <v>0.9663829787234034</v>
      </c>
      <c r="AG61" s="170"/>
    </row>
    <row r="62" spans="1:33" ht="15.75" customHeight="1">
      <c r="A62" s="172" t="s">
        <v>2604</v>
      </c>
      <c r="B62" s="4" t="s">
        <v>108</v>
      </c>
      <c r="C62" s="163" t="s">
        <v>127</v>
      </c>
      <c r="D62" s="163"/>
      <c r="E62" s="35">
        <v>35.119999999999997</v>
      </c>
      <c r="F62" s="38">
        <v>6484</v>
      </c>
      <c r="G62" s="4">
        <f t="shared" si="40"/>
        <v>227718.08</v>
      </c>
      <c r="H62" s="21" t="s">
        <v>133</v>
      </c>
      <c r="I62" s="15">
        <v>10</v>
      </c>
      <c r="J62" s="17">
        <v>3000</v>
      </c>
      <c r="K62" s="16">
        <f t="shared" si="1"/>
        <v>300</v>
      </c>
      <c r="L62" s="15">
        <v>10</v>
      </c>
      <c r="M62" s="17">
        <f t="shared" si="41"/>
        <v>2860.588235294118</v>
      </c>
      <c r="N62" s="16">
        <f t="shared" si="3"/>
        <v>286.05882352941182</v>
      </c>
      <c r="O62" s="18">
        <f t="shared" si="4"/>
        <v>0</v>
      </c>
      <c r="P62" s="19">
        <f t="shared" si="5"/>
        <v>-13.941176470588175</v>
      </c>
      <c r="Q62" s="20">
        <f t="shared" si="6"/>
        <v>0.95352941176470607</v>
      </c>
      <c r="R62" s="170"/>
      <c r="S62" s="27">
        <v>0.27847222222222223</v>
      </c>
      <c r="T62" s="27">
        <v>0.37291666666666667</v>
      </c>
      <c r="U62" s="4">
        <f t="shared" si="44"/>
        <v>4.9999999999999822</v>
      </c>
      <c r="V62" s="21">
        <f t="shared" si="42"/>
        <v>136</v>
      </c>
      <c r="W62" s="4"/>
      <c r="X62" s="4"/>
      <c r="Y62" s="4"/>
      <c r="Z62" s="4"/>
      <c r="AA62" s="162"/>
      <c r="AB62" s="162"/>
      <c r="AC62" s="24"/>
      <c r="AD62" s="24"/>
      <c r="AE62" s="18">
        <f t="shared" si="43"/>
        <v>-139.41176470588198</v>
      </c>
      <c r="AF62" s="20">
        <f t="shared" si="9"/>
        <v>0.95352941176470596</v>
      </c>
      <c r="AG62" s="170"/>
    </row>
    <row r="63" spans="1:33" ht="15.75" customHeight="1">
      <c r="A63" s="172" t="s">
        <v>2604</v>
      </c>
      <c r="B63" s="4" t="s">
        <v>108</v>
      </c>
      <c r="C63" s="163" t="s">
        <v>109</v>
      </c>
      <c r="D63" s="163"/>
      <c r="E63" s="35">
        <v>34.36</v>
      </c>
      <c r="F63" s="38">
        <v>1898</v>
      </c>
      <c r="G63" s="4">
        <f t="shared" si="40"/>
        <v>65215.28</v>
      </c>
      <c r="H63" s="21" t="s">
        <v>133</v>
      </c>
      <c r="I63" s="15">
        <v>10</v>
      </c>
      <c r="J63" s="17">
        <v>3000</v>
      </c>
      <c r="K63" s="16">
        <f t="shared" si="1"/>
        <v>300</v>
      </c>
      <c r="L63" s="15">
        <v>10</v>
      </c>
      <c r="M63" s="17">
        <f t="shared" si="41"/>
        <v>2919.9999999999986</v>
      </c>
      <c r="N63" s="16">
        <f t="shared" si="3"/>
        <v>291.99999999999989</v>
      </c>
      <c r="O63" s="18">
        <f t="shared" si="4"/>
        <v>0</v>
      </c>
      <c r="P63" s="19">
        <f t="shared" si="5"/>
        <v>-8.0000000000001137</v>
      </c>
      <c r="Q63" s="20">
        <f t="shared" si="6"/>
        <v>0.97333333333333294</v>
      </c>
      <c r="R63" s="170"/>
      <c r="S63" s="27">
        <v>0.37777777777777777</v>
      </c>
      <c r="T63" s="27">
        <v>0.40486111111111112</v>
      </c>
      <c r="U63" s="4">
        <f t="shared" si="44"/>
        <v>6.9999999999999751</v>
      </c>
      <c r="V63" s="21">
        <f t="shared" si="42"/>
        <v>39.000000000000021</v>
      </c>
      <c r="W63" s="4"/>
      <c r="X63" s="4"/>
      <c r="Y63" s="4"/>
      <c r="Z63" s="4"/>
      <c r="AA63" s="162"/>
      <c r="AB63" s="162"/>
      <c r="AC63" s="24"/>
      <c r="AD63" s="24"/>
      <c r="AE63" s="18">
        <f t="shared" si="43"/>
        <v>-80.000000000001364</v>
      </c>
      <c r="AF63" s="20">
        <f t="shared" si="9"/>
        <v>0.97333333333333283</v>
      </c>
      <c r="AG63" s="170"/>
    </row>
    <row r="64" spans="1:33">
      <c r="A64" s="173" t="s">
        <v>2602</v>
      </c>
      <c r="B64" s="4" t="s">
        <v>108</v>
      </c>
      <c r="C64" s="163" t="s">
        <v>110</v>
      </c>
      <c r="D64" s="163"/>
      <c r="E64" s="35">
        <v>26.78</v>
      </c>
      <c r="F64" s="38">
        <v>2912</v>
      </c>
      <c r="G64" s="4">
        <f t="shared" si="40"/>
        <v>77983.360000000001</v>
      </c>
      <c r="H64" s="21" t="s">
        <v>133</v>
      </c>
      <c r="I64" s="15">
        <v>10</v>
      </c>
      <c r="J64" s="17">
        <v>3000</v>
      </c>
      <c r="K64" s="16">
        <f t="shared" si="1"/>
        <v>300</v>
      </c>
      <c r="L64" s="15">
        <v>10</v>
      </c>
      <c r="M64" s="17">
        <f t="shared" si="41"/>
        <v>2864.2622950819659</v>
      </c>
      <c r="N64" s="16">
        <f t="shared" si="3"/>
        <v>286.42622950819657</v>
      </c>
      <c r="O64" s="18">
        <f t="shared" si="4"/>
        <v>0</v>
      </c>
      <c r="P64" s="19">
        <f t="shared" si="5"/>
        <v>-13.57377049180343</v>
      </c>
      <c r="Q64" s="20">
        <f t="shared" si="6"/>
        <v>0.95475409836065528</v>
      </c>
      <c r="R64" s="170"/>
      <c r="S64" s="27">
        <v>0.40833333333333333</v>
      </c>
      <c r="T64" s="27">
        <v>0.45069444444444445</v>
      </c>
      <c r="U64" s="4">
        <f t="shared" si="44"/>
        <v>4.9999999999999822</v>
      </c>
      <c r="V64" s="21">
        <f t="shared" si="42"/>
        <v>61.000000000000021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3"/>
        <v>-135.73770491803407</v>
      </c>
      <c r="AF64" s="20">
        <f t="shared" si="9"/>
        <v>0.95475409836065528</v>
      </c>
      <c r="AG64" s="170"/>
    </row>
    <row r="65" spans="1:33">
      <c r="A65" s="173" t="s">
        <v>2604</v>
      </c>
      <c r="B65" s="35" t="s">
        <v>2605</v>
      </c>
      <c r="C65" s="171"/>
      <c r="D65" s="171"/>
      <c r="E65" s="36"/>
      <c r="F65" s="16"/>
      <c r="G65" s="16"/>
      <c r="H65" s="4"/>
      <c r="I65" s="29">
        <v>10.4</v>
      </c>
      <c r="J65" s="17">
        <v>2800</v>
      </c>
      <c r="K65" s="16">
        <f t="shared" si="1"/>
        <v>269.23076923076923</v>
      </c>
      <c r="L65" s="29">
        <v>10.4</v>
      </c>
      <c r="M65" s="17">
        <f>AVERAGE(M60:M64)</f>
        <v>2696.6180751274405</v>
      </c>
      <c r="N65" s="16">
        <f t="shared" si="3"/>
        <v>259.29019953148463</v>
      </c>
      <c r="O65" s="18">
        <f t="shared" si="4"/>
        <v>0</v>
      </c>
      <c r="P65" s="19">
        <f t="shared" si="5"/>
        <v>-9.9405696992845947</v>
      </c>
      <c r="Q65" s="20">
        <f t="shared" si="6"/>
        <v>0.96307788397408578</v>
      </c>
      <c r="R65" s="170"/>
      <c r="S65" s="27"/>
      <c r="T65" s="27"/>
      <c r="U65" s="16"/>
      <c r="V65" s="21"/>
      <c r="W65" s="16"/>
      <c r="X65" s="16"/>
      <c r="Y65" s="30">
        <f>SUM(Y60:Y64)</f>
        <v>0</v>
      </c>
      <c r="Z65" s="30">
        <f>SUM(Z60:Z64)</f>
        <v>0</v>
      </c>
      <c r="AA65" s="166"/>
      <c r="AB65" s="166"/>
      <c r="AC65" s="30">
        <v>5</v>
      </c>
      <c r="AD65" s="30">
        <f>SUM(AD60:AD64)</f>
        <v>0</v>
      </c>
      <c r="AE65" s="18">
        <f t="shared" si="43"/>
        <v>-103.38192487255947</v>
      </c>
      <c r="AF65" s="20">
        <f t="shared" si="9"/>
        <v>0.96307788397408589</v>
      </c>
      <c r="AG65" s="170"/>
    </row>
    <row r="66" spans="1:33" ht="15.75" customHeight="1">
      <c r="A66" s="167" t="s">
        <v>2606</v>
      </c>
      <c r="B66" s="4" t="s">
        <v>97</v>
      </c>
      <c r="C66" s="163" t="s">
        <v>128</v>
      </c>
      <c r="D66" s="163"/>
      <c r="E66" s="35">
        <v>20.2</v>
      </c>
      <c r="F66" s="4">
        <v>2652</v>
      </c>
      <c r="G66" s="4">
        <f t="shared" ref="G66:G72" si="45">E66*F66</f>
        <v>53570.400000000001</v>
      </c>
      <c r="H66" s="21" t="s">
        <v>133</v>
      </c>
      <c r="I66" s="15">
        <v>15</v>
      </c>
      <c r="J66" s="17">
        <v>2400</v>
      </c>
      <c r="K66" s="16">
        <f t="shared" si="1"/>
        <v>160</v>
      </c>
      <c r="L66" s="15">
        <v>15</v>
      </c>
      <c r="M66" s="17">
        <f t="shared" ref="M66:M72" si="46">F66/V66*60</f>
        <v>2306.0869565217404</v>
      </c>
      <c r="N66" s="16">
        <f t="shared" si="3"/>
        <v>153.73913043478268</v>
      </c>
      <c r="O66" s="18">
        <f t="shared" si="4"/>
        <v>0</v>
      </c>
      <c r="P66" s="19">
        <f t="shared" si="5"/>
        <v>-6.2608695652173196</v>
      </c>
      <c r="Q66" s="20">
        <f t="shared" si="6"/>
        <v>0.96086956521739175</v>
      </c>
      <c r="R66" s="170">
        <f>Q73</f>
        <v>0.95783884391700069</v>
      </c>
      <c r="S66" s="27">
        <v>8.3333333333333329E-2</v>
      </c>
      <c r="T66" s="27">
        <v>0.13124999999999998</v>
      </c>
      <c r="U66" s="27"/>
      <c r="V66" s="21">
        <f t="shared" ref="V66:V72" si="47">(T66-S66)*24*60</f>
        <v>68.999999999999972</v>
      </c>
      <c r="W66" s="22">
        <f>T66</f>
        <v>0.13124999999999998</v>
      </c>
      <c r="X66" s="22">
        <f>S67</f>
        <v>0.15208333333333332</v>
      </c>
      <c r="Y66" s="22"/>
      <c r="Z66" s="22"/>
      <c r="AA66" s="162"/>
      <c r="AB66" s="162"/>
      <c r="AC66" s="24">
        <v>7</v>
      </c>
      <c r="AD66" s="24"/>
      <c r="AE66" s="18">
        <f t="shared" si="43"/>
        <v>-93.913043478259624</v>
      </c>
      <c r="AF66" s="20">
        <f t="shared" si="9"/>
        <v>0.96086956521739186</v>
      </c>
      <c r="AG66" s="170">
        <f>AF73</f>
        <v>0.9578388439170008</v>
      </c>
    </row>
    <row r="67" spans="1:33" ht="15.75" customHeight="1">
      <c r="A67" s="168" t="s">
        <v>2607</v>
      </c>
      <c r="B67" s="4" t="s">
        <v>97</v>
      </c>
      <c r="C67" s="163" t="s">
        <v>129</v>
      </c>
      <c r="D67" s="163"/>
      <c r="E67" s="35">
        <v>24.45</v>
      </c>
      <c r="F67" s="4">
        <v>3186</v>
      </c>
      <c r="G67" s="4">
        <f t="shared" si="45"/>
        <v>77897.7</v>
      </c>
      <c r="H67" s="21" t="s">
        <v>133</v>
      </c>
      <c r="I67" s="15">
        <v>19</v>
      </c>
      <c r="J67" s="17">
        <v>2400</v>
      </c>
      <c r="K67" s="16">
        <f t="shared" si="1"/>
        <v>126.31578947368421</v>
      </c>
      <c r="L67" s="15">
        <v>19</v>
      </c>
      <c r="M67" s="17">
        <f t="shared" si="46"/>
        <v>2303.1325301204824</v>
      </c>
      <c r="N67" s="16">
        <f t="shared" si="3"/>
        <v>121.21750158528855</v>
      </c>
      <c r="O67" s="18">
        <f t="shared" si="4"/>
        <v>0</v>
      </c>
      <c r="P67" s="19">
        <f t="shared" si="5"/>
        <v>-5.0982878883956602</v>
      </c>
      <c r="Q67" s="20">
        <f t="shared" si="6"/>
        <v>0.95963855421686772</v>
      </c>
      <c r="R67" s="170"/>
      <c r="S67" s="27">
        <v>0.15208333333333332</v>
      </c>
      <c r="T67" s="27">
        <v>0.2097222222222222</v>
      </c>
      <c r="U67" s="4">
        <f t="shared" ref="U67:U72" si="48">(S67-T66)*24*60</f>
        <v>30.000000000000014</v>
      </c>
      <c r="V67" s="21">
        <f t="shared" si="47"/>
        <v>82.999999999999986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3"/>
        <v>-96.867469879517557</v>
      </c>
      <c r="AF67" s="20">
        <f t="shared" si="9"/>
        <v>0.95963855421686772</v>
      </c>
      <c r="AG67" s="170"/>
    </row>
    <row r="68" spans="1:33" ht="15.75" customHeight="1">
      <c r="A68" s="168" t="s">
        <v>2606</v>
      </c>
      <c r="B68" s="4" t="s">
        <v>97</v>
      </c>
      <c r="C68" s="163" t="s">
        <v>106</v>
      </c>
      <c r="D68" s="163"/>
      <c r="E68" s="35">
        <v>20.21</v>
      </c>
      <c r="F68" s="4">
        <v>3031</v>
      </c>
      <c r="G68" s="4">
        <f t="shared" si="45"/>
        <v>61256.51</v>
      </c>
      <c r="H68" s="21" t="s">
        <v>133</v>
      </c>
      <c r="I68" s="15">
        <v>15</v>
      </c>
      <c r="J68" s="17">
        <v>2400</v>
      </c>
      <c r="K68" s="16">
        <f t="shared" si="1"/>
        <v>160</v>
      </c>
      <c r="L68" s="15">
        <v>15</v>
      </c>
      <c r="M68" s="17">
        <f t="shared" si="46"/>
        <v>2302.0253164556975</v>
      </c>
      <c r="N68" s="16">
        <f t="shared" si="3"/>
        <v>153.46835443037983</v>
      </c>
      <c r="O68" s="18">
        <f t="shared" si="4"/>
        <v>0</v>
      </c>
      <c r="P68" s="19">
        <f t="shared" si="5"/>
        <v>-6.5316455696201672</v>
      </c>
      <c r="Q68" s="20">
        <f t="shared" si="6"/>
        <v>0.95917721518987398</v>
      </c>
      <c r="R68" s="170"/>
      <c r="S68" s="27">
        <v>0.21319444444444441</v>
      </c>
      <c r="T68" s="27">
        <v>0.26805555555555549</v>
      </c>
      <c r="U68" s="4">
        <f t="shared" si="48"/>
        <v>4.9999999999999822</v>
      </c>
      <c r="V68" s="21">
        <f t="shared" si="47"/>
        <v>78.999999999999957</v>
      </c>
      <c r="W68" s="22"/>
      <c r="X68" s="22"/>
      <c r="Y68" s="22"/>
      <c r="Z68" s="22"/>
      <c r="AA68" s="162"/>
      <c r="AB68" s="162"/>
      <c r="AC68" s="24"/>
      <c r="AD68" s="24"/>
      <c r="AE68" s="18">
        <f t="shared" si="43"/>
        <v>-97.974683544302479</v>
      </c>
      <c r="AF68" s="20">
        <f t="shared" si="9"/>
        <v>0.95917721518987398</v>
      </c>
      <c r="AG68" s="170"/>
    </row>
    <row r="69" spans="1:33" ht="15.75" customHeight="1">
      <c r="A69" s="168" t="s">
        <v>2608</v>
      </c>
      <c r="B69" s="4" t="s">
        <v>97</v>
      </c>
      <c r="C69" s="163" t="s">
        <v>130</v>
      </c>
      <c r="D69" s="163"/>
      <c r="E69" s="35">
        <v>24.43</v>
      </c>
      <c r="F69" s="4">
        <v>4600</v>
      </c>
      <c r="G69" s="4">
        <f t="shared" si="45"/>
        <v>112378</v>
      </c>
      <c r="H69" s="21">
        <v>2</v>
      </c>
      <c r="I69" s="15">
        <v>14</v>
      </c>
      <c r="J69" s="17">
        <v>2400</v>
      </c>
      <c r="K69" s="16">
        <f t="shared" ref="K69:K73" si="49">J69/I69</f>
        <v>171.42857142857142</v>
      </c>
      <c r="L69" s="15">
        <v>14</v>
      </c>
      <c r="M69" s="17">
        <f t="shared" si="46"/>
        <v>2300.0000000000005</v>
      </c>
      <c r="N69" s="16">
        <f t="shared" ref="N69:N73" si="50">M69/L69</f>
        <v>164.28571428571431</v>
      </c>
      <c r="O69" s="18">
        <f t="shared" ref="O69:O73" si="51">L69-I69</f>
        <v>0</v>
      </c>
      <c r="P69" s="19">
        <f t="shared" ref="P69:P73" si="52">N69-K69</f>
        <v>-7.1428571428571104</v>
      </c>
      <c r="Q69" s="20">
        <f t="shared" ref="Q69:Q73" si="53">N69/K69</f>
        <v>0.95833333333333348</v>
      </c>
      <c r="R69" s="170"/>
      <c r="S69" s="27">
        <v>0.27291666666666659</v>
      </c>
      <c r="T69" s="27">
        <v>0.3562499999999999</v>
      </c>
      <c r="U69" s="4">
        <f t="shared" si="48"/>
        <v>6.9999999999999751</v>
      </c>
      <c r="V69" s="21">
        <f t="shared" si="47"/>
        <v>119.99999999999997</v>
      </c>
      <c r="W69" s="22"/>
      <c r="X69" s="22"/>
      <c r="Y69" s="22"/>
      <c r="Z69" s="22"/>
      <c r="AA69" s="162"/>
      <c r="AB69" s="162"/>
      <c r="AC69" s="24"/>
      <c r="AD69" s="24"/>
      <c r="AE69" s="18">
        <f t="shared" si="43"/>
        <v>-99.999999999999545</v>
      </c>
      <c r="AF69" s="20">
        <f t="shared" ref="AF69:AF73" si="54">M69/J69</f>
        <v>0.95833333333333348</v>
      </c>
      <c r="AG69" s="170"/>
    </row>
    <row r="70" spans="1:33" ht="15.75" customHeight="1">
      <c r="A70" s="168" t="s">
        <v>2606</v>
      </c>
      <c r="B70" s="4" t="s">
        <v>97</v>
      </c>
      <c r="C70" s="163" t="s">
        <v>132</v>
      </c>
      <c r="D70" s="163"/>
      <c r="E70" s="35">
        <v>19.02</v>
      </c>
      <c r="F70" s="4">
        <v>6200</v>
      </c>
      <c r="G70" s="4">
        <f t="shared" si="45"/>
        <v>117924</v>
      </c>
      <c r="H70" s="21">
        <v>2</v>
      </c>
      <c r="I70" s="15">
        <v>14</v>
      </c>
      <c r="J70" s="17">
        <v>2400</v>
      </c>
      <c r="K70" s="16">
        <f t="shared" si="49"/>
        <v>171.42857142857142</v>
      </c>
      <c r="L70" s="15">
        <v>14</v>
      </c>
      <c r="M70" s="17">
        <f t="shared" si="46"/>
        <v>2282.2085889570553</v>
      </c>
      <c r="N70" s="16">
        <f t="shared" si="50"/>
        <v>163.01489921121825</v>
      </c>
      <c r="O70" s="18">
        <f t="shared" si="51"/>
        <v>0</v>
      </c>
      <c r="P70" s="19">
        <f t="shared" si="52"/>
        <v>-8.4136722173531666</v>
      </c>
      <c r="Q70" s="20">
        <f t="shared" si="53"/>
        <v>0.95092024539877318</v>
      </c>
      <c r="R70" s="170"/>
      <c r="S70" s="27">
        <v>0.36180555555555544</v>
      </c>
      <c r="T70" s="27">
        <v>0.47499999999999987</v>
      </c>
      <c r="U70" s="4">
        <f t="shared" si="48"/>
        <v>7.9999999999999716</v>
      </c>
      <c r="V70" s="21">
        <f t="shared" si="47"/>
        <v>162.99999999999997</v>
      </c>
      <c r="W70" s="22">
        <f>T70</f>
        <v>0.47499999999999987</v>
      </c>
      <c r="X70" s="22">
        <f>S71</f>
        <v>0.51597222222222205</v>
      </c>
      <c r="Y70" s="22"/>
      <c r="Z70" s="22"/>
      <c r="AA70" s="162"/>
      <c r="AB70" s="162"/>
      <c r="AC70" s="24"/>
      <c r="AD70" s="24"/>
      <c r="AE70" s="18">
        <f t="shared" si="43"/>
        <v>-117.79141104294467</v>
      </c>
      <c r="AF70" s="20">
        <f t="shared" si="54"/>
        <v>0.95092024539877307</v>
      </c>
      <c r="AG70" s="170"/>
    </row>
    <row r="71" spans="1:33" ht="15.75" customHeight="1">
      <c r="A71" s="168" t="s">
        <v>2609</v>
      </c>
      <c r="B71" s="4" t="s">
        <v>97</v>
      </c>
      <c r="C71" s="163" t="s">
        <v>132</v>
      </c>
      <c r="D71" s="163"/>
      <c r="E71" s="35">
        <v>19.02</v>
      </c>
      <c r="F71" s="4">
        <v>5012</v>
      </c>
      <c r="G71" s="4">
        <f t="shared" si="45"/>
        <v>95328.239999999991</v>
      </c>
      <c r="H71" s="21" t="s">
        <v>133</v>
      </c>
      <c r="I71" s="15">
        <v>14</v>
      </c>
      <c r="J71" s="17">
        <v>2400</v>
      </c>
      <c r="K71" s="16">
        <f t="shared" si="49"/>
        <v>171.42857142857142</v>
      </c>
      <c r="L71" s="15">
        <v>14</v>
      </c>
      <c r="M71" s="17">
        <f t="shared" si="46"/>
        <v>2295.5725190839698</v>
      </c>
      <c r="N71" s="16">
        <f t="shared" si="50"/>
        <v>163.96946564885499</v>
      </c>
      <c r="O71" s="18">
        <f t="shared" si="51"/>
        <v>0</v>
      </c>
      <c r="P71" s="19">
        <f t="shared" si="52"/>
        <v>-7.459105779716424</v>
      </c>
      <c r="Q71" s="20">
        <f t="shared" si="53"/>
        <v>0.95648854961832086</v>
      </c>
      <c r="R71" s="170"/>
      <c r="S71" s="27">
        <v>0.51597222222222205</v>
      </c>
      <c r="T71" s="27">
        <v>0.60694444444444429</v>
      </c>
      <c r="U71" s="4">
        <f t="shared" si="48"/>
        <v>58.99999999999995</v>
      </c>
      <c r="V71" s="21">
        <f t="shared" si="47"/>
        <v>131</v>
      </c>
      <c r="W71" s="22"/>
      <c r="X71" s="22"/>
      <c r="Y71" s="22"/>
      <c r="Z71" s="22"/>
      <c r="AA71" s="162"/>
      <c r="AB71" s="162"/>
      <c r="AC71" s="24"/>
      <c r="AD71" s="24"/>
      <c r="AE71" s="18">
        <f t="shared" si="43"/>
        <v>-104.42748091603016</v>
      </c>
      <c r="AF71" s="20">
        <f t="shared" si="54"/>
        <v>0.95648854961832075</v>
      </c>
      <c r="AG71" s="170"/>
    </row>
    <row r="72" spans="1:33" ht="15.75" customHeight="1">
      <c r="A72" s="168" t="s">
        <v>2606</v>
      </c>
      <c r="B72" s="4" t="s">
        <v>97</v>
      </c>
      <c r="C72" s="174" t="s">
        <v>130</v>
      </c>
      <c r="D72" s="175"/>
      <c r="E72" s="35">
        <v>24.43</v>
      </c>
      <c r="F72" s="4">
        <v>3454</v>
      </c>
      <c r="G72" s="4">
        <f t="shared" si="45"/>
        <v>84381.22</v>
      </c>
      <c r="H72" s="21" t="s">
        <v>133</v>
      </c>
      <c r="I72" s="15">
        <v>14</v>
      </c>
      <c r="J72" s="17">
        <v>2400</v>
      </c>
      <c r="K72" s="16">
        <f t="shared" si="49"/>
        <v>171.42857142857142</v>
      </c>
      <c r="L72" s="15">
        <v>14</v>
      </c>
      <c r="M72" s="17">
        <f t="shared" si="46"/>
        <v>2302.666666666667</v>
      </c>
      <c r="N72" s="16">
        <f t="shared" si="50"/>
        <v>164.47619047619051</v>
      </c>
      <c r="O72" s="18">
        <f t="shared" si="51"/>
        <v>0</v>
      </c>
      <c r="P72" s="19">
        <f t="shared" si="52"/>
        <v>-6.9523809523809064</v>
      </c>
      <c r="Q72" s="20">
        <f t="shared" si="53"/>
        <v>0.95944444444444466</v>
      </c>
      <c r="R72" s="170"/>
      <c r="S72" s="27">
        <v>0.6104166666666665</v>
      </c>
      <c r="T72" s="27">
        <v>0.6729166666666665</v>
      </c>
      <c r="U72" s="4">
        <f t="shared" si="48"/>
        <v>4.9999999999999822</v>
      </c>
      <c r="V72" s="21">
        <f t="shared" si="47"/>
        <v>90</v>
      </c>
      <c r="W72" s="22"/>
      <c r="X72" s="22"/>
      <c r="Y72" s="25"/>
      <c r="Z72" s="25"/>
      <c r="AA72" s="176"/>
      <c r="AB72" s="177"/>
      <c r="AC72" s="24"/>
      <c r="AD72" s="24"/>
      <c r="AE72" s="18">
        <f t="shared" si="43"/>
        <v>-97.33333333333303</v>
      </c>
      <c r="AF72" s="20">
        <f t="shared" si="54"/>
        <v>0.95944444444444454</v>
      </c>
      <c r="AG72" s="170"/>
    </row>
    <row r="73" spans="1:33" ht="16.5" customHeight="1">
      <c r="A73" s="169" t="s">
        <v>2610</v>
      </c>
      <c r="B73" s="35" t="s">
        <v>2601</v>
      </c>
      <c r="C73" s="164"/>
      <c r="D73" s="165"/>
      <c r="E73" s="36"/>
      <c r="F73" s="16"/>
      <c r="G73" s="16"/>
      <c r="H73" s="4"/>
      <c r="I73" s="29">
        <v>15</v>
      </c>
      <c r="J73" s="17">
        <v>2400</v>
      </c>
      <c r="K73" s="16">
        <f t="shared" si="49"/>
        <v>160</v>
      </c>
      <c r="L73" s="29">
        <v>15</v>
      </c>
      <c r="M73" s="17">
        <f>AVERAGE(M66:M72)</f>
        <v>2298.8132254008019</v>
      </c>
      <c r="N73" s="16">
        <f t="shared" si="50"/>
        <v>153.25421502672012</v>
      </c>
      <c r="O73" s="18">
        <f t="shared" si="51"/>
        <v>0</v>
      </c>
      <c r="P73" s="19">
        <f t="shared" si="52"/>
        <v>-6.745784973279882</v>
      </c>
      <c r="Q73" s="20">
        <f t="shared" si="53"/>
        <v>0.95783884391700069</v>
      </c>
      <c r="R73" s="170"/>
      <c r="S73" s="27"/>
      <c r="T73" s="27"/>
      <c r="U73" s="16"/>
      <c r="V73" s="21"/>
      <c r="W73" s="16"/>
      <c r="X73" s="16"/>
      <c r="Y73" s="30">
        <f>SUM(Y66:Y72)</f>
        <v>0</v>
      </c>
      <c r="Z73" s="30">
        <f>SUM(Z66:Z72)</f>
        <v>0</v>
      </c>
      <c r="AA73" s="166"/>
      <c r="AB73" s="166"/>
      <c r="AC73" s="30">
        <v>7</v>
      </c>
      <c r="AD73" s="30">
        <f>SUM(AD66:AD72)</f>
        <v>0</v>
      </c>
      <c r="AE73" s="18">
        <f t="shared" si="43"/>
        <v>-101.18677459919809</v>
      </c>
      <c r="AF73" s="20">
        <f t="shared" si="54"/>
        <v>0.9578388439170008</v>
      </c>
      <c r="AG73" s="170"/>
    </row>
    <row r="74" spans="1:33">
      <c r="D74" s="41"/>
      <c r="E74" s="41"/>
    </row>
  </sheetData>
  <mergeCells count="19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19"/>
    <mergeCell ref="C14:D14"/>
    <mergeCell ref="R14:R19"/>
    <mergeCell ref="AA14:AB14"/>
    <mergeCell ref="AG14:AG19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AG20:AG27"/>
    <mergeCell ref="C21:D21"/>
    <mergeCell ref="AA21:AB21"/>
    <mergeCell ref="C22:D22"/>
    <mergeCell ref="AA22:AB22"/>
    <mergeCell ref="C23:D23"/>
    <mergeCell ref="C17:D17"/>
    <mergeCell ref="AA17:AB17"/>
    <mergeCell ref="C18:D18"/>
    <mergeCell ref="AA18:AB18"/>
    <mergeCell ref="C19:D19"/>
    <mergeCell ref="AA19:AB19"/>
    <mergeCell ref="AA23:AB23"/>
    <mergeCell ref="C24:D24"/>
    <mergeCell ref="AA24:AB24"/>
    <mergeCell ref="C25:D25"/>
    <mergeCell ref="AA25:AB25"/>
    <mergeCell ref="C26:D26"/>
    <mergeCell ref="AA26:AB26"/>
    <mergeCell ref="A20:A27"/>
    <mergeCell ref="C20:D20"/>
    <mergeCell ref="R20:R27"/>
    <mergeCell ref="AA20:AB20"/>
    <mergeCell ref="C27:D27"/>
    <mergeCell ref="AA27:AB27"/>
    <mergeCell ref="A28:A35"/>
    <mergeCell ref="C28:D28"/>
    <mergeCell ref="R28:R35"/>
    <mergeCell ref="AA28:AB28"/>
    <mergeCell ref="AA33:AB33"/>
    <mergeCell ref="C34:D34"/>
    <mergeCell ref="AA34:AB34"/>
    <mergeCell ref="C35:D35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5:AB35"/>
    <mergeCell ref="A36:A44"/>
    <mergeCell ref="C36:D36"/>
    <mergeCell ref="R36:R44"/>
    <mergeCell ref="AA36:AB36"/>
    <mergeCell ref="C37:D37"/>
    <mergeCell ref="AA37:AB37"/>
    <mergeCell ref="C38:D38"/>
    <mergeCell ref="AA38:AB38"/>
    <mergeCell ref="AG45:AG50"/>
    <mergeCell ref="C46:D46"/>
    <mergeCell ref="AA46:AB46"/>
    <mergeCell ref="C47:D47"/>
    <mergeCell ref="AA47:AB47"/>
    <mergeCell ref="C48:D48"/>
    <mergeCell ref="C42:D42"/>
    <mergeCell ref="AA42:AB42"/>
    <mergeCell ref="C43:D43"/>
    <mergeCell ref="AA43:AB43"/>
    <mergeCell ref="C44:D44"/>
    <mergeCell ref="AA44:AB44"/>
    <mergeCell ref="AG36:AG44"/>
    <mergeCell ref="AA48:AB48"/>
    <mergeCell ref="C49:D49"/>
    <mergeCell ref="AA49:AB49"/>
    <mergeCell ref="C50:D50"/>
    <mergeCell ref="AA50:AB50"/>
    <mergeCell ref="C39:D39"/>
    <mergeCell ref="AA39:AB39"/>
    <mergeCell ref="C40:D40"/>
    <mergeCell ref="AA40:AB40"/>
    <mergeCell ref="C41:D41"/>
    <mergeCell ref="AA41:AB41"/>
    <mergeCell ref="A51:A59"/>
    <mergeCell ref="C51:D51"/>
    <mergeCell ref="R51:R59"/>
    <mergeCell ref="AA51:AB51"/>
    <mergeCell ref="AA57:AB57"/>
    <mergeCell ref="A45:A50"/>
    <mergeCell ref="C45:D45"/>
    <mergeCell ref="R45:R50"/>
    <mergeCell ref="AA45:AB45"/>
    <mergeCell ref="AG51:AG59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C58:D58"/>
    <mergeCell ref="AA58:AB58"/>
    <mergeCell ref="C59:D59"/>
    <mergeCell ref="AA59:AB59"/>
    <mergeCell ref="A60:A65"/>
    <mergeCell ref="C60:D60"/>
    <mergeCell ref="R60:R65"/>
    <mergeCell ref="AA60:AB60"/>
    <mergeCell ref="AA65:AB65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6:A73"/>
    <mergeCell ref="C66:D66"/>
    <mergeCell ref="R66:R73"/>
    <mergeCell ref="AA66:AB66"/>
    <mergeCell ref="AG66:AG73"/>
    <mergeCell ref="C67:D67"/>
    <mergeCell ref="AA67:AB67"/>
    <mergeCell ref="C68:D68"/>
    <mergeCell ref="AA68:AB68"/>
    <mergeCell ref="C69:D69"/>
    <mergeCell ref="C73:D73"/>
    <mergeCell ref="AA73:AB73"/>
    <mergeCell ref="AA69:AB69"/>
    <mergeCell ref="C70:D70"/>
    <mergeCell ref="AA70:AB70"/>
    <mergeCell ref="C71:D71"/>
    <mergeCell ref="AA71:AB71"/>
    <mergeCell ref="C72:D72"/>
    <mergeCell ref="AA72:AB72"/>
  </mergeCells>
  <phoneticPr fontId="3" type="noConversion"/>
  <conditionalFormatting sqref="O5:O73">
    <cfRule type="cellIs" dxfId="250" priority="9" operator="greaterThan">
      <formula>0</formula>
    </cfRule>
  </conditionalFormatting>
  <conditionalFormatting sqref="P5:P73">
    <cfRule type="cellIs" dxfId="249" priority="1" operator="lessThan">
      <formula>0</formula>
    </cfRule>
  </conditionalFormatting>
  <conditionalFormatting sqref="Q5:Q73 AF5:AF73">
    <cfRule type="cellIs" dxfId="248" priority="10" operator="greaterThan">
      <formula>1</formula>
    </cfRule>
    <cfRule type="cellIs" dxfId="247" priority="11" operator="lessThan">
      <formula>0.8</formula>
    </cfRule>
  </conditionalFormatting>
  <conditionalFormatting sqref="R5:R10 AG5:AG10">
    <cfRule type="cellIs" dxfId="246" priority="59" operator="lessThan">
      <formula>0.8</formula>
    </cfRule>
  </conditionalFormatting>
  <conditionalFormatting sqref="AE5:AE73">
    <cfRule type="cellIs" dxfId="245" priority="12" operator="lessThan">
      <formula>0</formula>
    </cfRule>
  </conditionalFormatting>
  <conditionalFormatting sqref="AG14:AG63 R14:R73">
    <cfRule type="cellIs" dxfId="244" priority="13" operator="lessThan">
      <formula>0.8</formula>
    </cfRule>
  </conditionalFormatting>
  <dataValidations count="1">
    <dataValidation type="list" allowBlank="1" showInputMessage="1" showErrorMessage="1" sqref="AB9 AA5:AB8 AB64 AB11:AB60 AA9:AA64 AA65:AB73" xr:uid="{00000000-0002-0000-0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32"/>
  <sheetViews>
    <sheetView zoomScale="85" zoomScaleNormal="85" workbookViewId="0">
      <selection activeCell="AA13" sqref="AA13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134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2424</v>
      </c>
      <c r="C3" s="151" t="str">
        <f>TEXT('0328 4度C'!A2,"yyyy.mm.ddaaaa")</f>
        <v>2026.03.28星期六</v>
      </c>
      <c r="D3" s="152"/>
      <c r="E3" s="45" t="s">
        <v>199</v>
      </c>
      <c r="F3" s="153">
        <f>'0328 4度C'!D1</f>
        <v>138992</v>
      </c>
      <c r="G3" s="154"/>
      <c r="H3" s="45" t="s">
        <v>2425</v>
      </c>
      <c r="I3" s="155">
        <f>'0328 4度C'!F1</f>
        <v>4712416.5900000008</v>
      </c>
      <c r="J3" s="156"/>
      <c r="K3" s="46"/>
      <c r="L3" s="47"/>
      <c r="M3" s="47"/>
      <c r="N3" s="47"/>
    </row>
    <row r="4" spans="2:17" ht="28.5" customHeight="1">
      <c r="B4" s="157" t="s">
        <v>513</v>
      </c>
      <c r="C4" s="143" t="s">
        <v>2426</v>
      </c>
      <c r="D4" s="144"/>
      <c r="E4" s="160" t="s">
        <v>711</v>
      </c>
      <c r="F4" s="161"/>
      <c r="G4" s="160" t="s">
        <v>2427</v>
      </c>
      <c r="H4" s="161"/>
      <c r="I4" s="160" t="s">
        <v>205</v>
      </c>
      <c r="J4" s="161"/>
      <c r="K4" s="141" t="s">
        <v>143</v>
      </c>
      <c r="L4" s="142"/>
      <c r="M4" s="142" t="s">
        <v>144</v>
      </c>
      <c r="N4" s="142"/>
    </row>
    <row r="5" spans="2:17" ht="28.5" customHeight="1">
      <c r="B5" s="158"/>
      <c r="C5" s="143" t="s">
        <v>2428</v>
      </c>
      <c r="D5" s="144"/>
      <c r="E5" s="143" t="s">
        <v>2429</v>
      </c>
      <c r="F5" s="144"/>
      <c r="G5" s="145" t="s">
        <v>147</v>
      </c>
      <c r="H5" s="146"/>
      <c r="I5" s="147" t="s">
        <v>859</v>
      </c>
      <c r="J5" s="148"/>
      <c r="K5" s="48" t="s">
        <v>317</v>
      </c>
      <c r="L5" s="49" t="s">
        <v>2430</v>
      </c>
      <c r="M5" s="48" t="s">
        <v>2431</v>
      </c>
      <c r="N5" s="49" t="s">
        <v>863</v>
      </c>
    </row>
    <row r="6" spans="2:17" ht="28.5" customHeight="1">
      <c r="B6" s="158"/>
      <c r="C6" s="143" t="s">
        <v>153</v>
      </c>
      <c r="D6" s="144"/>
      <c r="E6" s="135">
        <f>AVERAGE(D13:M13)</f>
        <v>155.24413529029374</v>
      </c>
      <c r="F6" s="136">
        <f>AVERAGE(D31:O31,D13:J13)</f>
        <v>161.39982544092135</v>
      </c>
      <c r="G6" s="137">
        <f>AVERAGE(D13:J13)</f>
        <v>161.39982544092135</v>
      </c>
      <c r="H6" s="138"/>
      <c r="I6" s="137">
        <f>AVERAGE(K13:M13)</f>
        <v>140.88085827216261</v>
      </c>
      <c r="J6" s="138"/>
      <c r="K6" s="139">
        <f>'0328 4度C'!Y2</f>
        <v>0</v>
      </c>
      <c r="L6" s="124">
        <f>'0328 4度C'!Z2</f>
        <v>0</v>
      </c>
      <c r="M6" s="140">
        <f>'0328 4度C'!AC2</f>
        <v>48</v>
      </c>
      <c r="N6" s="124">
        <f>'0328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148.85732381068857</v>
      </c>
      <c r="F7" s="128">
        <f>AVERAGE(D32:O32,D14:J14)</f>
        <v>154.83550323260761</v>
      </c>
      <c r="G7" s="129">
        <f>AVERAGE(D14:J14)</f>
        <v>154.83550323260761</v>
      </c>
      <c r="H7" s="130"/>
      <c r="I7" s="129">
        <f>AVERAGE(K14:M14)</f>
        <v>134.90823849287753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0.95962558074207549</v>
      </c>
      <c r="F8" s="132">
        <f>AVERAGE(D15:J15,D33:O33)</f>
        <v>0.96046929837866879</v>
      </c>
      <c r="G8" s="133">
        <f>AVERAGE(D15:J15)</f>
        <v>0.96046929837866879</v>
      </c>
      <c r="H8" s="134"/>
      <c r="I8" s="133">
        <f>AVERAGE(K15:M15)</f>
        <v>0.95765690625669098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156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158</v>
      </c>
      <c r="E10" s="110"/>
      <c r="F10" s="110"/>
      <c r="G10" s="110"/>
      <c r="H10" s="110"/>
      <c r="I10" s="110"/>
      <c r="J10" s="111"/>
      <c r="K10" s="112" t="s">
        <v>159</v>
      </c>
      <c r="L10" s="113"/>
      <c r="M10" s="114"/>
      <c r="P10" s="53"/>
      <c r="Q10" s="53"/>
    </row>
    <row r="11" spans="2:17" ht="17.25" customHeight="1">
      <c r="B11" s="115" t="s">
        <v>160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628</v>
      </c>
      <c r="D13" s="61">
        <f>SUMIFS('0328 4度C'!$K:$K,'0328 4度C'!$A:$A,"新豐6線",'0328 4度C'!$B:$B,"平均")</f>
        <v>111.11111111111111</v>
      </c>
      <c r="E13" s="62">
        <f>SUMIFS('0328 4度C'!$K:$K,'0328 4度C'!$A:$A,"新豐2線",'0328 4度C'!$B:$B,"平均")</f>
        <v>83.333333333333329</v>
      </c>
      <c r="F13" s="63">
        <f>SUMIFS('0328 4度C'!$K:$K,'0328 4度C'!$A:$A,"新豐5線",'0328 4度C'!$B:$B,"平均")</f>
        <v>102.73972602739725</v>
      </c>
      <c r="G13" s="63">
        <f>SUMIFS('0328 4度C'!$K:$K,'0328 4度C'!$A:$A,"新豐7線",'0328 4度C'!$B:$B,"平均")</f>
        <v>127.77777777777779</v>
      </c>
      <c r="H13" s="63">
        <f>SUMIFS('0328 4度C'!$K:$K,'0328 4度C'!$A:$A,"新豐3線",'0328 4度C'!$B:$B,"平均")</f>
        <v>333.33333333333331</v>
      </c>
      <c r="I13" s="63">
        <f>SUMIFS('0328 4度C'!$K:$K,'0328 4度C'!$A:$A,"新豐1線",'0328 4度C'!$B:$B,"平均")</f>
        <v>102.27272727272728</v>
      </c>
      <c r="J13" s="64">
        <f>SUMIFS('0328 4度C'!$K:$K,'0328 4度C'!$A:$A,"新豐10線",'0328 4度C'!$B:$B,"平均")</f>
        <v>269.23076923076923</v>
      </c>
      <c r="K13" s="65">
        <f>SUMIFS('0328 4度C'!$K:$K,'0328 4度C'!$A:$A,"新豐8線",'0328 4度C'!$B:$B,"平均")</f>
        <v>130.43478260869566</v>
      </c>
      <c r="L13" s="66">
        <f>SUMIFS('0328 4度C'!$K:$K,'0328 4度C'!$A:$A,"新豐9線",'0328 4度C'!$B:$B,"平均")</f>
        <v>136.36363636363635</v>
      </c>
      <c r="M13" s="64">
        <f>SUMIFS('0328 4度C'!$K:$K,'0328 4度C'!$A:$A,"新豐4線",'0328 4度C'!$B:$B,"平均")</f>
        <v>155.84415584415584</v>
      </c>
    </row>
    <row r="14" spans="2:17" ht="39.6" customHeight="1">
      <c r="B14" s="120"/>
      <c r="C14" s="67" t="s">
        <v>533</v>
      </c>
      <c r="D14" s="68">
        <f>SUMIFS('0328 4度C'!$N:$N,'0328 4度C'!$A:$A,"新豐6線",'0328 4度C'!$B:$B,"平均")</f>
        <v>106.48306710071425</v>
      </c>
      <c r="E14" s="69">
        <f>SUMIFS('0328 4度C'!$N:$N,'0328 4度C'!$A:$A,"新豐2線",'0328 4度C'!$B:$B,"平均")</f>
        <v>79.553024330193523</v>
      </c>
      <c r="F14" s="69">
        <f>SUMIFS('0328 4度C'!$N:$N,'0328 4度C'!$A:$A,"新豐5線",'0328 4度C'!$B:$B,"平均")</f>
        <v>99.393991388300336</v>
      </c>
      <c r="G14" s="69">
        <f>SUMIFS('0328 4度C'!$N:$N,'0328 4度C'!$A:$A,"新豐7線",'0328 4度C'!$B:$B,"平均")</f>
        <v>122.80449570593493</v>
      </c>
      <c r="H14" s="69">
        <f>SUMIFS('0328 4度C'!$N:$N,'0328 4度C'!$A:$A,"新豐3線",'0328 4度C'!$B:$B,"平均")</f>
        <v>318.31480327820742</v>
      </c>
      <c r="I14" s="69">
        <f>SUMIFS('0328 4度C'!$N:$N,'0328 4度C'!$A:$A,"新豐1線",'0328 4度C'!$B:$B,"平均")</f>
        <v>98.908709802149858</v>
      </c>
      <c r="J14" s="70">
        <f>SUMIFS('0328 4度C'!$N:$N,'0328 4度C'!$A:$A,"新豐10線",'0328 4度C'!$B:$B,"平均")</f>
        <v>258.39043102275286</v>
      </c>
      <c r="K14" s="71">
        <f>SUMIFS('0328 4度C'!$N:$N,'0328 4度C'!$A:$A,"新豐8線",'0328 4度C'!$B:$B,"平均")</f>
        <v>125.33603124754114</v>
      </c>
      <c r="L14" s="72">
        <f>SUMIFS('0328 4度C'!$N:$N,'0328 4度C'!$A:$A,"新豐9線",'0328 4度C'!$B:$B,"平均")</f>
        <v>130.16409678845889</v>
      </c>
      <c r="M14" s="70">
        <f>SUMIFS('0328 4度C'!$N:$N,'0328 4度C'!$A:$A,"新豐4線",'0328 4度C'!$B:$B,"平均")</f>
        <v>149.22458744263255</v>
      </c>
    </row>
    <row r="15" spans="2:17" ht="40.15" customHeight="1">
      <c r="B15" s="121"/>
      <c r="C15" s="73" t="s">
        <v>2432</v>
      </c>
      <c r="D15" s="74">
        <f t="shared" ref="D15:M15" si="0">D14/D13</f>
        <v>0.95834760390642826</v>
      </c>
      <c r="E15" s="75">
        <f t="shared" si="0"/>
        <v>0.95463629196232236</v>
      </c>
      <c r="F15" s="75">
        <f t="shared" si="0"/>
        <v>0.96743484951279002</v>
      </c>
      <c r="G15" s="75">
        <f t="shared" si="0"/>
        <v>0.96107866204644721</v>
      </c>
      <c r="H15" s="75">
        <f t="shared" si="0"/>
        <v>0.95494440983462237</v>
      </c>
      <c r="I15" s="75">
        <f t="shared" si="0"/>
        <v>0.96710738473213187</v>
      </c>
      <c r="J15" s="76">
        <f t="shared" si="0"/>
        <v>0.95973588665593923</v>
      </c>
      <c r="K15" s="74">
        <f t="shared" si="0"/>
        <v>0.96090957289781542</v>
      </c>
      <c r="L15" s="75">
        <f t="shared" si="0"/>
        <v>0.95453670978203198</v>
      </c>
      <c r="M15" s="76">
        <f t="shared" si="0"/>
        <v>0.95752443609022564</v>
      </c>
    </row>
    <row r="16" spans="2:17" ht="17.25" customHeight="1">
      <c r="B16" s="122" t="s">
        <v>1169</v>
      </c>
      <c r="C16" s="77" t="s">
        <v>2433</v>
      </c>
      <c r="D16" s="78">
        <f>VLOOKUP("新豐6線",'0328 4度C'!$A:$T,19,0)</f>
        <v>0.70833333333333337</v>
      </c>
      <c r="E16" s="79">
        <f>VLOOKUP("新豐2線",'0328 4度C'!$A:$T,19,0)</f>
        <v>0.20833333333333334</v>
      </c>
      <c r="F16" s="79">
        <f>VLOOKUP("新豐5線",'0328 4度C'!$A:$T,19,0)</f>
        <v>0.20833333333333334</v>
      </c>
      <c r="G16" s="79">
        <f>VLOOKUP("新豐7線",'0328 4度C'!$A:$T,19,0)</f>
        <v>0.20833333333333334</v>
      </c>
      <c r="H16" s="79">
        <f>VLOOKUP("新豐3線",'0328 4度C'!$A:$T,19,0)</f>
        <v>8.3333333333333329E-2</v>
      </c>
      <c r="I16" s="79">
        <f>VLOOKUP("新豐1線",'0328 4度C'!$A:$T,19,0)</f>
        <v>0.20833333333333334</v>
      </c>
      <c r="J16" s="80">
        <f>VLOOKUP("新豐10線",'0328 4度C'!$A:$T,19,0)</f>
        <v>0.20833333333333334</v>
      </c>
      <c r="K16" s="81">
        <f>VLOOKUP("新豐8線",'0328 4度C'!$A:$T,19,0)</f>
        <v>8.3333333333333329E-2</v>
      </c>
      <c r="L16" s="82">
        <f>VLOOKUP("新豐9線",'0328 4度C'!$A:$T,19,0)</f>
        <v>8.3333333333333329E-2</v>
      </c>
      <c r="M16" s="83">
        <f>VLOOKUP("新豐4線",'0328 4度C'!$A:$T,19,0)</f>
        <v>8.3333333333333329E-2</v>
      </c>
    </row>
    <row r="17" spans="2:13" ht="17.25" customHeight="1">
      <c r="B17" s="123"/>
      <c r="C17" s="77" t="s">
        <v>435</v>
      </c>
      <c r="D17" s="81">
        <f>LOOKUP(2,1/(('0328 4度C'!$A:$A="新豐6線")*('0328 4度C'!$T:$T&lt;&gt;"")),'0328 4度C'!$T:$T)</f>
        <v>0.81805555555555554</v>
      </c>
      <c r="E17" s="79">
        <f>LOOKUP(2,1/(('0328 4度C'!$A:$A="新豐2線")*('0328 4度C'!$T:$T&lt;&gt;"")),'0328 4度C'!$T:$T)</f>
        <v>0.52569444444444446</v>
      </c>
      <c r="F17" s="79">
        <f>LOOKUP(2,1/(('0328 4度C'!$A:$A="新豐5線")*('0328 4度C'!$T:$T&lt;&gt;"")),'0328 4度C'!$T:$T)</f>
        <v>0.83333333333333337</v>
      </c>
      <c r="G17" s="79">
        <f>LOOKUP(2,1/(('0328 4度C'!$A:$A="新豐7線")*('0328 4度C'!$T:$T&lt;&gt;"")),'0328 4度C'!$T:$T)</f>
        <v>0.83749999999999991</v>
      </c>
      <c r="H17" s="79">
        <f>LOOKUP(2,1/(('0328 4度C'!$A:$A="新豐3線")*('0328 4度C'!$T:$T&lt;&gt;"")),'0328 4度C'!$T:$T)</f>
        <v>0.41875000000000007</v>
      </c>
      <c r="I17" s="79">
        <f>LOOKUP(2,1/(('0328 4度C'!$A:$A="新豐1線")*('0328 4度C'!$T:$T&lt;&gt;"")),'0328 4度C'!$T:$T)</f>
        <v>0.84305555555555556</v>
      </c>
      <c r="J17" s="80">
        <f>LOOKUP(2,1/(('0328 4度C'!$A:$A="新豐10線")*('0328 4度C'!$T:$T&lt;&gt;"")),'0328 4度C'!$T:$T)</f>
        <v>0.42361111111111105</v>
      </c>
      <c r="K17" s="78">
        <f>LOOKUP(2,1/(('0328 4度C'!$A:$A="新豐8線")*('0328 4度C'!$T:$T&lt;&gt;"")),'0328 4度C'!$T:$T)</f>
        <v>0.46874999999999989</v>
      </c>
      <c r="L17" s="79">
        <f>LOOKUP(2,1/(('0328 4度C'!$A:$A="新豐9線")*('0328 4度C'!$T:$T&lt;&gt;"")),'0328 4度C'!$T:$T)</f>
        <v>0.50208333333333333</v>
      </c>
      <c r="M17" s="80">
        <f>LOOKUP(2,1/(('0328 4度C'!$A:$A="新豐4線")*('0328 4度C'!$T:$T&lt;&gt;"")),'0328 4度C'!$T:$T)</f>
        <v>0.47361111111111109</v>
      </c>
    </row>
    <row r="18" spans="2:13" ht="17.25" customHeight="1">
      <c r="B18" s="101" t="s">
        <v>178</v>
      </c>
      <c r="C18" s="84" t="s">
        <v>179</v>
      </c>
      <c r="D18" s="85">
        <f>SUMIFS('0328 4度C'!$Y:$Y,'0328 4度C'!$A:$A,"新豐6線",'0328 4度C'!$B:$B,"平均")</f>
        <v>0</v>
      </c>
      <c r="E18" s="86">
        <f>SUMIFS('0328 4度C'!$Y:$Y,'0328 4度C'!$A:$A,"新豐2線",'0328 4度C'!$B:$B,"平均")</f>
        <v>0</v>
      </c>
      <c r="F18" s="86">
        <f>SUMIFS('0328 4度C'!$Y:$Y,'0328 4度C'!$A:$A,"新豐5線",'0328 4度C'!$B:$B,"平均")</f>
        <v>0</v>
      </c>
      <c r="G18" s="86">
        <f>SUMIFS('0328 4度C'!$Y:$Y,'0328 4度C'!$A:$A,"新豐7線",'0328 4度C'!$B:$B,"平均")</f>
        <v>0</v>
      </c>
      <c r="H18" s="86">
        <f>SUMIFS('0328 4度C'!$Y:$Y,'0328 4度C'!$A:$A,"新豐3線",'0328 4度C'!$B:$B,"平均")</f>
        <v>0</v>
      </c>
      <c r="I18" s="86">
        <f>SUMIFS('0328 4度C'!$Y:$Y,'0328 4度C'!$A:$A,"新豐1線",'0328 4度C'!$B:$B,"平均")</f>
        <v>0</v>
      </c>
      <c r="J18" s="87">
        <f>SUMIFS('0328 4度C'!$Y:$Y,'0328 4度C'!$A:$A,"新豐10線",'0328 4度C'!$B:$B,"平均")</f>
        <v>0</v>
      </c>
      <c r="K18" s="88">
        <f>SUMIFS('0328 4度C'!$Y:$Y,'0328 4度C'!$A:$A,"新豐8線",'0328 4度C'!$B:$B,"平均")</f>
        <v>0</v>
      </c>
      <c r="L18" s="86">
        <f>SUMIFS('0328 4度C'!$Y:$Y,'0328 4度C'!$A:$A,"新豐9線",'0328 4度C'!$B:$B,"平均")</f>
        <v>0</v>
      </c>
      <c r="M18" s="87">
        <f>SUMIFS('0328 4度C'!$Y:$Y,'0328 4度C'!$A:$A,"新豐4線",'0328 4度C'!$B:$B,"平均")</f>
        <v>0</v>
      </c>
    </row>
    <row r="19" spans="2:13" ht="17.25" customHeight="1">
      <c r="B19" s="102"/>
      <c r="C19" s="84" t="s">
        <v>383</v>
      </c>
      <c r="D19" s="85">
        <f>SUMIFS('0328 4度C'!$Z:$Z,'0328 4度C'!$A:$A,"新豐6線",'0328 4度C'!$B:$B,"平均")</f>
        <v>0</v>
      </c>
      <c r="E19" s="86">
        <f>SUMIFS('0328 4度C'!$Z:$Z,'0328 4度C'!$A:$A,"新豐2線",'0328 4度C'!$B:$B,"平均")</f>
        <v>0</v>
      </c>
      <c r="F19" s="86">
        <f>SUMIFS('0328 4度C'!$Z:$Z,'0328 4度C'!$A:$A,"新豐5線",'0328 4度C'!$B:$B,"平均")</f>
        <v>0</v>
      </c>
      <c r="G19" s="86">
        <f>SUMIFS('0328 4度C'!$Z:$Z,'0328 4度C'!$A:$A,"新豐7線",'0328 4度C'!$B:$B,"平均")</f>
        <v>0</v>
      </c>
      <c r="H19" s="86">
        <f>SUMIFS('0328 4度C'!$Z:$Z,'0328 4度C'!$A:$A,"新豐3線",'0328 4度C'!$B:$B,"平均")</f>
        <v>0</v>
      </c>
      <c r="I19" s="86">
        <f>SUMIFS('0328 4度C'!$Z:$Z,'0328 4度C'!$A:$A,"新豐1線",'0328 4度C'!$B:$B,"平均")</f>
        <v>0</v>
      </c>
      <c r="J19" s="87">
        <f>SUMIFS('0328 4度C'!$Z:$Z,'0328 4度C'!$A:$A,"新豐10線",'0328 4度C'!$B:$B,"平均")</f>
        <v>0</v>
      </c>
      <c r="K19" s="88">
        <f>SUMIFS('0328 4度C'!$Z:$Z,'0328 4度C'!$A:$A,"新豐8線",'0328 4度C'!$B:$B,"平均")</f>
        <v>0</v>
      </c>
      <c r="L19" s="86">
        <f>SUMIFS('0328 4度C'!$Z:$Z,'0328 4度C'!$A:$A,"新豐9線",'0328 4度C'!$B:$B,"平均")</f>
        <v>0</v>
      </c>
      <c r="M19" s="87">
        <f>SUMIFS('0328 4度C'!$Z:$Z,'0328 4度C'!$A:$A,"新豐4線",'0328 4度C'!$B:$B,"平均")</f>
        <v>0</v>
      </c>
    </row>
    <row r="20" spans="2:13" ht="17.25" customHeight="1">
      <c r="B20" s="101" t="s">
        <v>439</v>
      </c>
      <c r="C20" s="84" t="s">
        <v>179</v>
      </c>
      <c r="D20" s="85">
        <f>SUMIFS('0328 4度C'!$AC:$AC,'0328 4度C'!$A:$A,"新豐6線",'0328 4度C'!$B:$B,"平均")</f>
        <v>4</v>
      </c>
      <c r="E20" s="86">
        <f>SUMIFS('0328 4度C'!$AC:$AC,'0328 4度C'!$A:$A,"新豐2線",'0328 4度C'!$B:$B,"平均")</f>
        <v>2</v>
      </c>
      <c r="F20" s="86">
        <f>SUMIFS('0328 4度C'!$AC:$AC,'0328 4度C'!$A:$A,"新豐5線",'0328 4度C'!$B:$B,"平均")</f>
        <v>4</v>
      </c>
      <c r="G20" s="86">
        <f>SUMIFS('0328 4度C'!$AC:$AC,'0328 4度C'!$A:$A,"新豐7線",'0328 4度C'!$B:$B,"平均")</f>
        <v>6</v>
      </c>
      <c r="H20" s="86">
        <f>SUMIFS('0328 4度C'!$AC:$AC,'0328 4度C'!$A:$A,"新豐3線",'0328 4度C'!$B:$B,"平均")</f>
        <v>5</v>
      </c>
      <c r="I20" s="86">
        <f>SUMIFS('0328 4度C'!$AC:$AC,'0328 4度C'!$A:$A,"新豐1線",'0328 4度C'!$B:$B,"平均")</f>
        <v>7</v>
      </c>
      <c r="J20" s="87">
        <f>SUMIFS('0328 4度C'!$AC:$AC,'0328 4度C'!$A:$A,"新豐10線",'0328 4度C'!$B:$B,"平均")</f>
        <v>5</v>
      </c>
      <c r="K20" s="88">
        <f>SUMIFS('0328 4度C'!$AC:$AC,'0328 4度C'!$A:$A,"新豐8線",'0328 4度C'!$B:$B,"平均")</f>
        <v>5</v>
      </c>
      <c r="L20" s="86">
        <f>SUMIFS('0328 4度C'!$AC:$AC,'0328 4度C'!$A:$A,"新豐9線",'0328 4度C'!$B:$B,"平均")</f>
        <v>5</v>
      </c>
      <c r="M20" s="87">
        <f>SUMIFS('0328 4度C'!$AC:$AC,'0328 4度C'!$A:$A,"新豐4線",'0328 4度C'!$B:$B,"平均")</f>
        <v>5</v>
      </c>
    </row>
    <row r="21" spans="2:13" ht="17.25" customHeight="1">
      <c r="B21" s="102"/>
      <c r="C21" s="84" t="s">
        <v>739</v>
      </c>
      <c r="D21" s="85">
        <f>SUMIFS('0328 4度C'!$AD:$AD,'0328 4度C'!$A:$A,"新豐6線",'0328 4度C'!$B:$B,"平均")</f>
        <v>0</v>
      </c>
      <c r="E21" s="86">
        <f>SUMIFS('0328 4度C'!$AD:$AD,'0328 4度C'!$A:$A,"新豐2線",'0328 4度C'!$B:$B,"平均")</f>
        <v>0</v>
      </c>
      <c r="F21" s="86">
        <f>SUMIFS('0328 4度C'!$AD:$AD,'0328 4度C'!$A:$A,"新豐5線",'0328 4度C'!$B:$B,"平均")</f>
        <v>0</v>
      </c>
      <c r="G21" s="86">
        <f>SUMIFS('0328 4度C'!$AD:$AD,'0328 4度C'!$A:$A,"新豐7線",'0328 4度C'!$B:$B,"平均")</f>
        <v>0</v>
      </c>
      <c r="H21" s="86">
        <f>SUMIFS('0328 4度C'!$AD:$AD,'0328 4度C'!$A:$A,"新豐3線",'0328 4度C'!$B:$B,"平均")</f>
        <v>0</v>
      </c>
      <c r="I21" s="86">
        <f>SUMIFS('0328 4度C'!$AD:$AD,'0328 4度C'!$A:$A,"新豐1線",'0328 4度C'!$B:$B,"平均")</f>
        <v>0</v>
      </c>
      <c r="J21" s="87">
        <f>SUMIFS('0328 4度C'!$AD:$AD,'0328 4度C'!$A:$A,"新豐10線",'0328 4度C'!$B:$B,"平均")</f>
        <v>0</v>
      </c>
      <c r="K21" s="88">
        <f>SUMIFS('0328 4度C'!$AD:$AD,'0328 4度C'!$A:$A,"新豐8線",'0328 4度C'!$B:$B,"平均")</f>
        <v>0</v>
      </c>
      <c r="L21" s="86">
        <f>SUMIFS('0328 4度C'!$AD:$AD,'0328 4度C'!$A:$A,"新豐9線",'0328 4度C'!$B:$B,"平均")</f>
        <v>0</v>
      </c>
      <c r="M21" s="87">
        <f>SUMIFS('0328 4度C'!$AD:$AD,'0328 4度C'!$A:$A,"新豐4線",'0328 4度C'!$B:$B,"平均")</f>
        <v>0</v>
      </c>
    </row>
    <row r="22" spans="2:13" ht="17.25" customHeight="1">
      <c r="B22" s="103" t="s">
        <v>441</v>
      </c>
      <c r="C22" s="104"/>
      <c r="D22" s="89">
        <f>SUMIFS('0328 4度C'!$I:$I,'0328 4度C'!$A:$A,"新豐6線",'0328 4度C'!$B:$B,"平均")</f>
        <v>18</v>
      </c>
      <c r="E22" s="90">
        <f>SUMIFS('0328 4度C'!$I:$I,'0328 4度C'!$A:$A,"新豐2線",'0328 4度C'!$B:$B,"平均")</f>
        <v>18</v>
      </c>
      <c r="F22" s="90">
        <f>SUMIFS('0328 4度C'!$I:$I,'0328 4度C'!$A:$A,"新豐5線",'0328 4度C'!$B:$B,"平均")</f>
        <v>18.25</v>
      </c>
      <c r="G22" s="90">
        <f>SUMIFS('0328 4度C'!$I:$I,'0328 4度C'!$A:$A,"新豐7線",'0328 4度C'!$B:$B,"平均")</f>
        <v>15</v>
      </c>
      <c r="H22" s="90">
        <f>SUMIFS('0328 4度C'!$I:$I,'0328 4度C'!$A:$A,"新豐3線",'0328 4度C'!$B:$B,"平均")</f>
        <v>9</v>
      </c>
      <c r="I22" s="90">
        <f>SUMIFS('0328 4度C'!$I:$I,'0328 4度C'!$A:$A,"新豐1線",'0328 4度C'!$B:$B,"平均")</f>
        <v>18.857142857142858</v>
      </c>
      <c r="J22" s="91">
        <f>SUMIFS('0328 4度C'!$I:$I,'0328 4度C'!$A:$A,"新豐10線",'0328 4度C'!$B:$B,"平均")</f>
        <v>10.4</v>
      </c>
      <c r="K22" s="89">
        <f>SUMIFS('0328 4度C'!$I:$I,'0328 4度C'!$A:$A,"新豐8線",'0328 4度C'!$B:$B,"平均")</f>
        <v>18.399999999999999</v>
      </c>
      <c r="L22" s="90">
        <f>SUMIFS('0328 4度C'!$I:$I,'0328 4度C'!$A:$A,"新豐9線",'0328 4度C'!$B:$B,"平均")</f>
        <v>17.600000000000001</v>
      </c>
      <c r="M22" s="91">
        <f>SUMIFS('0328 4度C'!$I:$I,'0328 4度C'!$A:$A,"新豐4線",'0328 4度C'!$B:$B,"平均")</f>
        <v>15.4</v>
      </c>
    </row>
    <row r="23" spans="2:13" ht="17.25" customHeight="1">
      <c r="B23" s="103" t="s">
        <v>184</v>
      </c>
      <c r="C23" s="104"/>
      <c r="D23" s="92" t="s">
        <v>185</v>
      </c>
      <c r="E23" s="93" t="s">
        <v>186</v>
      </c>
      <c r="F23" s="93" t="s">
        <v>808</v>
      </c>
      <c r="G23" s="93" t="s">
        <v>2434</v>
      </c>
      <c r="H23" s="93" t="s">
        <v>188</v>
      </c>
      <c r="I23" s="93" t="s">
        <v>185</v>
      </c>
      <c r="J23" s="94" t="s">
        <v>188</v>
      </c>
      <c r="K23" s="92" t="s">
        <v>189</v>
      </c>
      <c r="L23" s="93" t="s">
        <v>189</v>
      </c>
      <c r="M23" s="94" t="s">
        <v>189</v>
      </c>
    </row>
    <row r="24" spans="2:13" ht="17.25" customHeight="1">
      <c r="B24" s="103" t="s">
        <v>190</v>
      </c>
      <c r="C24" s="104"/>
      <c r="D24" s="92"/>
      <c r="E24" s="93"/>
      <c r="F24" s="93" t="s">
        <v>191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447</v>
      </c>
      <c r="C25" s="106"/>
      <c r="D25" s="95"/>
      <c r="E25" s="96" t="s">
        <v>2435</v>
      </c>
      <c r="F25" s="99" t="s">
        <v>449</v>
      </c>
      <c r="G25" s="100"/>
      <c r="H25" s="96" t="s">
        <v>450</v>
      </c>
      <c r="I25" s="96" t="s">
        <v>451</v>
      </c>
      <c r="J25" s="97" t="s">
        <v>450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4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3">
    <pageSetUpPr fitToPage="1"/>
  </sheetPr>
  <dimension ref="A1:AG63"/>
  <sheetViews>
    <sheetView topLeftCell="M1" zoomScale="80" zoomScaleNormal="80" workbookViewId="0">
      <pane ySplit="4" topLeftCell="A5" activePane="bottomLeft" state="frozen"/>
      <selection activeCell="J13" sqref="J13"/>
      <selection pane="bottomLeft" activeCell="AA13" sqref="AA13:AB1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2436</v>
      </c>
      <c r="B1" s="1"/>
      <c r="C1" s="2" t="s">
        <v>2437</v>
      </c>
      <c r="D1" s="3">
        <f>SUM(F5:F62)</f>
        <v>138992</v>
      </c>
      <c r="E1" s="4" t="s">
        <v>2438</v>
      </c>
      <c r="F1" s="1">
        <f>SUM(G5:G62)</f>
        <v>4712416.5900000008</v>
      </c>
      <c r="G1" s="1" t="s">
        <v>3</v>
      </c>
      <c r="H1" s="5">
        <f>L9+L12+L42+L50+L17+L56+L30+L36+L24+L62</f>
        <v>158.90714285714287</v>
      </c>
      <c r="I1" s="212" t="s">
        <v>4</v>
      </c>
      <c r="J1" s="212"/>
      <c r="K1" s="212"/>
      <c r="L1" s="212" t="s">
        <v>2439</v>
      </c>
      <c r="M1" s="212"/>
      <c r="N1" s="212"/>
      <c r="O1" s="212" t="s">
        <v>2440</v>
      </c>
      <c r="P1" s="212"/>
      <c r="Q1" s="212"/>
      <c r="R1" s="212"/>
      <c r="S1" s="212" t="s">
        <v>7</v>
      </c>
      <c r="T1" s="212"/>
      <c r="U1" s="212"/>
      <c r="V1" s="212"/>
      <c r="W1" s="212"/>
      <c r="X1" s="212"/>
      <c r="Y1" s="6" t="s">
        <v>8</v>
      </c>
      <c r="Z1" s="7" t="s">
        <v>9</v>
      </c>
      <c r="AA1" s="213" t="s">
        <v>10</v>
      </c>
      <c r="AB1" s="213"/>
      <c r="AC1" s="42" t="s">
        <v>2441</v>
      </c>
      <c r="AD1" s="7" t="s">
        <v>11</v>
      </c>
      <c r="AE1" s="212" t="s">
        <v>2442</v>
      </c>
      <c r="AF1" s="214"/>
      <c r="AG1" s="214"/>
    </row>
    <row r="2" spans="1:33" ht="26.25" customHeight="1">
      <c r="A2" s="33">
        <v>46109</v>
      </c>
      <c r="B2" s="34" t="s">
        <v>756</v>
      </c>
      <c r="C2" s="2" t="s">
        <v>13</v>
      </c>
      <c r="D2" s="9">
        <f>AVERAGE(N9,N12,N42,N50,N17,N56,N24,N30,N36,N62)</f>
        <v>148.85732381068857</v>
      </c>
      <c r="E2" s="10" t="s">
        <v>14</v>
      </c>
      <c r="F2" s="11">
        <f>F1/D1</f>
        <v>33.904228948428695</v>
      </c>
      <c r="G2" s="1" t="s">
        <v>2443</v>
      </c>
      <c r="H2" s="12">
        <f>COUNT(H5:H62)</f>
        <v>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SUM(Y9+Y12+Y17+Y24+Y30+Y36+Y42+Y50+Y56+Y62)</f>
        <v>0</v>
      </c>
      <c r="Z2" s="13">
        <f>SUM(Z9+Z12+Z17+Z24+Z30+Z36+Z42+Z50+Z56+Z62)</f>
        <v>0</v>
      </c>
      <c r="AA2" s="213"/>
      <c r="AB2" s="213"/>
      <c r="AC2" s="13">
        <v>48</v>
      </c>
      <c r="AD2" s="13">
        <f>SUM(AD9+AD12+AD17+AD24+AD30+AD36+AD42+AD50+AD56+AD62)</f>
        <v>0</v>
      </c>
      <c r="AE2" s="214"/>
      <c r="AF2" s="214"/>
      <c r="AG2" s="214"/>
    </row>
    <row r="3" spans="1:33" ht="40.5" customHeight="1">
      <c r="A3" s="162" t="s">
        <v>2444</v>
      </c>
      <c r="B3" s="162" t="s">
        <v>2445</v>
      </c>
      <c r="C3" s="162" t="s">
        <v>2446</v>
      </c>
      <c r="D3" s="162"/>
      <c r="E3" s="210" t="s">
        <v>2447</v>
      </c>
      <c r="F3" s="162" t="s">
        <v>2448</v>
      </c>
      <c r="G3" s="210" t="s">
        <v>2449</v>
      </c>
      <c r="H3" s="204" t="s">
        <v>2450</v>
      </c>
      <c r="I3" s="202" t="s">
        <v>2451</v>
      </c>
      <c r="J3" s="199" t="s">
        <v>2452</v>
      </c>
      <c r="K3" s="209" t="s">
        <v>2453</v>
      </c>
      <c r="L3" s="202" t="s">
        <v>2451</v>
      </c>
      <c r="M3" s="199" t="s">
        <v>2452</v>
      </c>
      <c r="N3" s="209" t="s">
        <v>2453</v>
      </c>
      <c r="O3" s="202" t="s">
        <v>2451</v>
      </c>
      <c r="P3" s="209" t="s">
        <v>2453</v>
      </c>
      <c r="Q3" s="200" t="s">
        <v>2454</v>
      </c>
      <c r="R3" s="178" t="s">
        <v>2455</v>
      </c>
      <c r="S3" s="162" t="s">
        <v>27</v>
      </c>
      <c r="T3" s="162"/>
      <c r="U3" s="204" t="s">
        <v>28</v>
      </c>
      <c r="V3" s="204" t="s">
        <v>2456</v>
      </c>
      <c r="W3" s="162" t="s">
        <v>2457</v>
      </c>
      <c r="X3" s="162"/>
      <c r="Y3" s="205" t="s">
        <v>2458</v>
      </c>
      <c r="Z3" s="166"/>
      <c r="AA3" s="206" t="s">
        <v>2459</v>
      </c>
      <c r="AB3" s="207"/>
      <c r="AC3" s="205" t="s">
        <v>2460</v>
      </c>
      <c r="AD3" s="166"/>
      <c r="AE3" s="199" t="s">
        <v>2461</v>
      </c>
      <c r="AF3" s="200" t="s">
        <v>2462</v>
      </c>
      <c r="AG3" s="178" t="s">
        <v>2463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2464</v>
      </c>
      <c r="X4" s="4" t="s">
        <v>2465</v>
      </c>
      <c r="Y4" s="14" t="s">
        <v>2466</v>
      </c>
      <c r="Z4" s="14" t="s">
        <v>2467</v>
      </c>
      <c r="AA4" s="208"/>
      <c r="AB4" s="207"/>
      <c r="AC4" s="14" t="s">
        <v>2468</v>
      </c>
      <c r="AD4" s="14" t="s">
        <v>2469</v>
      </c>
      <c r="AE4" s="199"/>
      <c r="AF4" s="200"/>
      <c r="AG4" s="178"/>
    </row>
    <row r="5" spans="1:33">
      <c r="A5" s="201" t="s">
        <v>2470</v>
      </c>
      <c r="B5" s="35" t="s">
        <v>78</v>
      </c>
      <c r="C5" s="203" t="s">
        <v>79</v>
      </c>
      <c r="D5" s="203"/>
      <c r="E5" s="35">
        <v>50.67</v>
      </c>
      <c r="F5" s="4">
        <v>1449</v>
      </c>
      <c r="G5" s="4">
        <f t="shared" ref="G5:G8" si="0">E5*F5</f>
        <v>73420.83</v>
      </c>
      <c r="H5" s="21" t="s">
        <v>133</v>
      </c>
      <c r="I5" s="15">
        <v>17</v>
      </c>
      <c r="J5" s="17">
        <v>2000</v>
      </c>
      <c r="K5" s="16">
        <f t="shared" ref="K5:K62" si="1">J5/I5</f>
        <v>117.64705882352941</v>
      </c>
      <c r="L5" s="15">
        <v>17</v>
      </c>
      <c r="M5" s="17">
        <f t="shared" ref="M5:M8" si="2">F5/V5*60</f>
        <v>1932.0000000000002</v>
      </c>
      <c r="N5" s="16">
        <f t="shared" ref="N5:N62" si="3">M5/L5</f>
        <v>113.64705882352942</v>
      </c>
      <c r="O5" s="18">
        <f t="shared" ref="O5:O62" si="4">L5-I5</f>
        <v>0</v>
      </c>
      <c r="P5" s="19">
        <f t="shared" ref="P5:P62" si="5">N5-K5</f>
        <v>-3.9999999999999858</v>
      </c>
      <c r="Q5" s="20">
        <f t="shared" ref="Q5:Q62" si="6">N5/K5</f>
        <v>0.96600000000000008</v>
      </c>
      <c r="R5" s="170">
        <f>Q9</f>
        <v>0.95834760390642826</v>
      </c>
      <c r="S5" s="27">
        <v>0.70833333333333337</v>
      </c>
      <c r="T5" s="27">
        <v>0.73958333333333337</v>
      </c>
      <c r="U5" s="4"/>
      <c r="V5" s="21">
        <f t="shared" ref="V5:V8" si="7">(T5-S5)*24*60</f>
        <v>45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49" si="8">M5-J5</f>
        <v>-67.999999999999773</v>
      </c>
      <c r="AF5" s="20">
        <f t="shared" ref="AF5:AF62" si="9">M5/J5</f>
        <v>0.96600000000000008</v>
      </c>
      <c r="AG5" s="170">
        <f>AF9</f>
        <v>0.95834760390642826</v>
      </c>
    </row>
    <row r="6" spans="1:33">
      <c r="A6" s="202" t="s">
        <v>2471</v>
      </c>
      <c r="B6" s="35" t="s">
        <v>78</v>
      </c>
      <c r="C6" s="203" t="s">
        <v>80</v>
      </c>
      <c r="D6" s="203"/>
      <c r="E6" s="35">
        <v>54.09</v>
      </c>
      <c r="F6" s="4">
        <v>1187</v>
      </c>
      <c r="G6" s="4">
        <f t="shared" si="0"/>
        <v>64204.83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1924.8648648648636</v>
      </c>
      <c r="N6" s="16">
        <f t="shared" si="3"/>
        <v>101.30867709815072</v>
      </c>
      <c r="O6" s="18">
        <f t="shared" si="4"/>
        <v>0</v>
      </c>
      <c r="P6" s="19">
        <f t="shared" si="5"/>
        <v>-3.9544807965861111</v>
      </c>
      <c r="Q6" s="20">
        <f t="shared" si="6"/>
        <v>0.96243243243243193</v>
      </c>
      <c r="R6" s="170"/>
      <c r="S6" s="27">
        <v>0.74375000000000002</v>
      </c>
      <c r="T6" s="27">
        <v>0.76944444444444449</v>
      </c>
      <c r="U6" s="4">
        <f t="shared" ref="U6:U8" si="10">IF(S6=TIME(17,0,0),"",(S6-T5)*24*60)</f>
        <v>5.9999999999999787</v>
      </c>
      <c r="V6" s="21">
        <f t="shared" si="7"/>
        <v>37.000000000000028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-75.135135135136352</v>
      </c>
      <c r="AF6" s="20">
        <f t="shared" si="9"/>
        <v>0.96243243243243182</v>
      </c>
      <c r="AG6" s="170"/>
    </row>
    <row r="7" spans="1:33">
      <c r="A7" s="202" t="s">
        <v>2471</v>
      </c>
      <c r="B7" s="35" t="s">
        <v>78</v>
      </c>
      <c r="C7" s="197" t="s">
        <v>82</v>
      </c>
      <c r="D7" s="198"/>
      <c r="E7" s="35">
        <v>50.67</v>
      </c>
      <c r="F7" s="4">
        <v>222</v>
      </c>
      <c r="G7" s="4">
        <f t="shared" si="0"/>
        <v>11248.74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1902.8571428571495</v>
      </c>
      <c r="N7" s="16">
        <f t="shared" si="3"/>
        <v>90.612244897959499</v>
      </c>
      <c r="O7" s="18">
        <f t="shared" si="4"/>
        <v>0</v>
      </c>
      <c r="P7" s="19">
        <f t="shared" si="5"/>
        <v>-4.6258503401357416</v>
      </c>
      <c r="Q7" s="20">
        <f t="shared" si="6"/>
        <v>0.95142857142857473</v>
      </c>
      <c r="R7" s="170"/>
      <c r="S7" s="27">
        <v>0.77361111111111114</v>
      </c>
      <c r="T7" s="27">
        <v>0.77847222222222223</v>
      </c>
      <c r="U7" s="4">
        <f t="shared" si="10"/>
        <v>5.9999999999999787</v>
      </c>
      <c r="V7" s="21">
        <f t="shared" si="7"/>
        <v>6.9999999999999751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-97.142857142850517</v>
      </c>
      <c r="AF7" s="20">
        <f t="shared" si="9"/>
        <v>0.95142857142857473</v>
      </c>
      <c r="AG7" s="170"/>
    </row>
    <row r="8" spans="1:33">
      <c r="A8" s="202" t="s">
        <v>2471</v>
      </c>
      <c r="B8" s="35" t="s">
        <v>78</v>
      </c>
      <c r="C8" s="197" t="s">
        <v>91</v>
      </c>
      <c r="D8" s="198"/>
      <c r="E8" s="35">
        <v>50.67</v>
      </c>
      <c r="F8" s="4">
        <v>1621</v>
      </c>
      <c r="G8" s="4">
        <f t="shared" si="0"/>
        <v>82136.070000000007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1907.0588235294126</v>
      </c>
      <c r="N8" s="16">
        <f t="shared" si="3"/>
        <v>127.13725490196084</v>
      </c>
      <c r="O8" s="18">
        <f t="shared" si="4"/>
        <v>0</v>
      </c>
      <c r="P8" s="19">
        <f t="shared" si="5"/>
        <v>-6.1960784313724986</v>
      </c>
      <c r="Q8" s="20">
        <f t="shared" si="6"/>
        <v>0.95352941176470629</v>
      </c>
      <c r="R8" s="170"/>
      <c r="S8" s="27">
        <v>0.78263888888888888</v>
      </c>
      <c r="T8" s="27">
        <v>0.81805555555555554</v>
      </c>
      <c r="U8" s="4">
        <f t="shared" si="10"/>
        <v>5.9999999999999787</v>
      </c>
      <c r="V8" s="21">
        <f t="shared" si="7"/>
        <v>50.999999999999979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-92.941176470587379</v>
      </c>
      <c r="AF8" s="20">
        <f t="shared" si="9"/>
        <v>0.95352941176470629</v>
      </c>
      <c r="AG8" s="170"/>
    </row>
    <row r="9" spans="1:33">
      <c r="A9" s="202" t="s">
        <v>2471</v>
      </c>
      <c r="B9" s="35" t="s">
        <v>2472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1916.6952078128566</v>
      </c>
      <c r="N9" s="16">
        <f t="shared" si="3"/>
        <v>106.48306710071425</v>
      </c>
      <c r="O9" s="18">
        <f t="shared" si="4"/>
        <v>0</v>
      </c>
      <c r="P9" s="19">
        <f t="shared" si="5"/>
        <v>-4.628044010396863</v>
      </c>
      <c r="Q9" s="20">
        <f t="shared" si="6"/>
        <v>0.95834760390642826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-83.304792187143448</v>
      </c>
      <c r="AF9" s="20">
        <f t="shared" si="9"/>
        <v>0.95834760390642826</v>
      </c>
      <c r="AG9" s="170"/>
    </row>
    <row r="10" spans="1:33" ht="15.75" customHeight="1">
      <c r="A10" s="196" t="s">
        <v>388</v>
      </c>
      <c r="B10" s="35" t="s">
        <v>84</v>
      </c>
      <c r="C10" s="197" t="s">
        <v>85</v>
      </c>
      <c r="D10" s="198"/>
      <c r="E10" s="35">
        <v>39.619999999999997</v>
      </c>
      <c r="F10" s="4">
        <v>4162</v>
      </c>
      <c r="G10" s="4">
        <f t="shared" ref="G10:G11" si="11">E10*F10</f>
        <v>164898.44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1" si="12">F10/V10*60</f>
        <v>1435.1724137931037</v>
      </c>
      <c r="N10" s="16">
        <f t="shared" si="3"/>
        <v>75.535390199637035</v>
      </c>
      <c r="O10" s="18">
        <f t="shared" si="4"/>
        <v>0</v>
      </c>
      <c r="P10" s="19">
        <f t="shared" si="5"/>
        <v>-3.4119782214155947</v>
      </c>
      <c r="Q10" s="20">
        <f t="shared" si="6"/>
        <v>0.95678160919540245</v>
      </c>
      <c r="R10" s="170">
        <f>Q12</f>
        <v>0.95463629196232236</v>
      </c>
      <c r="S10" s="27">
        <v>0.20833333333333334</v>
      </c>
      <c r="T10" s="27">
        <v>0.32916666666666666</v>
      </c>
      <c r="U10" s="4"/>
      <c r="V10" s="21">
        <f t="shared" ref="V10:V11" si="13">(T10-S10)*24*60</f>
        <v>173.99999999999997</v>
      </c>
      <c r="W10" s="22"/>
      <c r="X10" s="22"/>
      <c r="Y10" s="22"/>
      <c r="Z10" s="22"/>
      <c r="AA10" s="162"/>
      <c r="AB10" s="162"/>
      <c r="AC10" s="24">
        <v>2</v>
      </c>
      <c r="AD10" s="24"/>
      <c r="AE10" s="18">
        <f t="shared" si="8"/>
        <v>-64.827586206896285</v>
      </c>
      <c r="AF10" s="20">
        <f t="shared" si="9"/>
        <v>0.95678160919540245</v>
      </c>
      <c r="AG10" s="170">
        <f>AF12</f>
        <v>0.95463629196232225</v>
      </c>
    </row>
    <row r="11" spans="1:33" ht="15.75" customHeight="1">
      <c r="A11" s="196" t="s">
        <v>2473</v>
      </c>
      <c r="B11" s="35" t="s">
        <v>84</v>
      </c>
      <c r="C11" s="197" t="s">
        <v>86</v>
      </c>
      <c r="D11" s="198"/>
      <c r="E11" s="35">
        <v>39.799999999999997</v>
      </c>
      <c r="F11" s="4">
        <v>6596</v>
      </c>
      <c r="G11" s="4">
        <f t="shared" si="11"/>
        <v>262520.8</v>
      </c>
      <c r="H11" s="21" t="s">
        <v>133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1428.7364620938629</v>
      </c>
      <c r="N11" s="16">
        <f t="shared" si="3"/>
        <v>84.04332129963899</v>
      </c>
      <c r="O11" s="18">
        <f t="shared" si="4"/>
        <v>0</v>
      </c>
      <c r="P11" s="19">
        <f t="shared" si="5"/>
        <v>-4.1919728180080682</v>
      </c>
      <c r="Q11" s="20">
        <f t="shared" si="6"/>
        <v>0.95249097472924193</v>
      </c>
      <c r="R11" s="170"/>
      <c r="S11" s="27">
        <v>0.33333333333333331</v>
      </c>
      <c r="T11" s="27">
        <v>0.52569444444444446</v>
      </c>
      <c r="U11" s="4">
        <f t="shared" ref="U11" si="14">IF(S11=TIME(17,0,0),"",(S11-T10)*24*60)</f>
        <v>5.9999999999999787</v>
      </c>
      <c r="V11" s="21">
        <f t="shared" si="13"/>
        <v>277</v>
      </c>
      <c r="W11" s="22"/>
      <c r="X11" s="22"/>
      <c r="Y11" s="22"/>
      <c r="Z11" s="22"/>
      <c r="AA11" s="162"/>
      <c r="AB11" s="162"/>
      <c r="AC11" s="24"/>
      <c r="AD11" s="24"/>
      <c r="AE11" s="18">
        <f t="shared" si="8"/>
        <v>-71.263537906137117</v>
      </c>
      <c r="AF11" s="20">
        <f t="shared" si="9"/>
        <v>0.95249097472924193</v>
      </c>
      <c r="AG11" s="170"/>
    </row>
    <row r="12" spans="1:33" ht="16.5" customHeight="1">
      <c r="A12" s="196" t="s">
        <v>2474</v>
      </c>
      <c r="B12" s="35" t="s">
        <v>2472</v>
      </c>
      <c r="C12" s="171"/>
      <c r="D12" s="171"/>
      <c r="E12" s="36"/>
      <c r="F12" s="17"/>
      <c r="G12" s="17"/>
      <c r="H12" s="4"/>
      <c r="I12" s="29">
        <v>18</v>
      </c>
      <c r="J12" s="17">
        <v>1500</v>
      </c>
      <c r="K12" s="16">
        <f t="shared" si="1"/>
        <v>83.333333333333329</v>
      </c>
      <c r="L12" s="29">
        <v>18</v>
      </c>
      <c r="M12" s="17">
        <f>AVERAGE(M10:M11)</f>
        <v>1431.9544379434833</v>
      </c>
      <c r="N12" s="16">
        <f t="shared" si="3"/>
        <v>79.553024330193523</v>
      </c>
      <c r="O12" s="18">
        <f t="shared" si="4"/>
        <v>0</v>
      </c>
      <c r="P12" s="19">
        <f t="shared" si="5"/>
        <v>-3.7803090031398057</v>
      </c>
      <c r="Q12" s="20">
        <f t="shared" si="6"/>
        <v>0.95463629196232236</v>
      </c>
      <c r="R12" s="170"/>
      <c r="S12" s="27"/>
      <c r="T12" s="27"/>
      <c r="U12" s="16"/>
      <c r="V12" s="21"/>
      <c r="W12" s="16"/>
      <c r="X12" s="16"/>
      <c r="Y12" s="30">
        <f>SUM(Y10:Y11)</f>
        <v>0</v>
      </c>
      <c r="Z12" s="30">
        <f>SUM(Z10:Z11)</f>
        <v>0</v>
      </c>
      <c r="AA12" s="166"/>
      <c r="AB12" s="166"/>
      <c r="AC12" s="30">
        <v>2</v>
      </c>
      <c r="AD12" s="30">
        <f>SUM(AD10:AD11)</f>
        <v>0</v>
      </c>
      <c r="AE12" s="18">
        <f t="shared" si="8"/>
        <v>-68.045562056516701</v>
      </c>
      <c r="AF12" s="20">
        <f t="shared" si="9"/>
        <v>0.95463629196232225</v>
      </c>
      <c r="AG12" s="170"/>
    </row>
    <row r="13" spans="1:33" ht="16.5" customHeight="1">
      <c r="A13" s="194" t="s">
        <v>2475</v>
      </c>
      <c r="B13" s="4" t="s">
        <v>87</v>
      </c>
      <c r="C13" s="190" t="s">
        <v>88</v>
      </c>
      <c r="D13" s="190"/>
      <c r="E13" s="35">
        <v>41</v>
      </c>
      <c r="F13" s="4">
        <v>2248</v>
      </c>
      <c r="G13" s="4">
        <f t="shared" ref="G13:G16" si="15">E13*F13</f>
        <v>92168</v>
      </c>
      <c r="H13" s="21" t="s">
        <v>133</v>
      </c>
      <c r="I13" s="15">
        <v>26</v>
      </c>
      <c r="J13" s="17">
        <v>1500</v>
      </c>
      <c r="K13" s="16">
        <f t="shared" si="1"/>
        <v>57.692307692307693</v>
      </c>
      <c r="L13" s="15">
        <v>26</v>
      </c>
      <c r="M13" s="17">
        <f t="shared" ref="M13:M16" si="16">F13/V13*60</f>
        <v>1434.8936170212762</v>
      </c>
      <c r="N13" s="16">
        <f t="shared" si="3"/>
        <v>55.188216039279851</v>
      </c>
      <c r="O13" s="18">
        <f t="shared" si="4"/>
        <v>0</v>
      </c>
      <c r="P13" s="19">
        <f t="shared" si="5"/>
        <v>-2.5040916530278423</v>
      </c>
      <c r="Q13" s="20">
        <f t="shared" si="6"/>
        <v>0.95659574468085073</v>
      </c>
      <c r="R13" s="170">
        <f>Q17</f>
        <v>0.96743484951279002</v>
      </c>
      <c r="S13" s="27">
        <v>0.20833333333333334</v>
      </c>
      <c r="T13" s="27">
        <v>0.27361111111111114</v>
      </c>
      <c r="U13" s="4"/>
      <c r="V13" s="21">
        <f t="shared" ref="V13:V16" si="17">(T13-S13)*24*60</f>
        <v>94.000000000000028</v>
      </c>
      <c r="W13" s="27"/>
      <c r="X13" s="27"/>
      <c r="Y13" s="27"/>
      <c r="Z13" s="27"/>
      <c r="AA13" s="162"/>
      <c r="AB13" s="162"/>
      <c r="AC13" s="24">
        <v>4</v>
      </c>
      <c r="AD13" s="24"/>
      <c r="AE13" s="18">
        <f t="shared" si="8"/>
        <v>-65.106382978723786</v>
      </c>
      <c r="AF13" s="20">
        <f t="shared" si="9"/>
        <v>0.95659574468085085</v>
      </c>
      <c r="AG13" s="170">
        <f>AF17</f>
        <v>0.96743484951279002</v>
      </c>
    </row>
    <row r="14" spans="1:33" ht="16.5" customHeight="1">
      <c r="A14" s="195" t="s">
        <v>2475</v>
      </c>
      <c r="B14" s="4" t="s">
        <v>78</v>
      </c>
      <c r="C14" s="190" t="s">
        <v>89</v>
      </c>
      <c r="D14" s="190"/>
      <c r="E14" s="35">
        <v>50.98</v>
      </c>
      <c r="F14" s="4">
        <v>2455</v>
      </c>
      <c r="G14" s="4">
        <f t="shared" si="15"/>
        <v>125155.9</v>
      </c>
      <c r="H14" s="21" t="s">
        <v>133</v>
      </c>
      <c r="I14" s="15">
        <v>16</v>
      </c>
      <c r="J14" s="17">
        <v>2000</v>
      </c>
      <c r="K14" s="16">
        <f t="shared" si="1"/>
        <v>125</v>
      </c>
      <c r="L14" s="15">
        <v>16</v>
      </c>
      <c r="M14" s="17">
        <f t="shared" si="16"/>
        <v>1912.9870129870119</v>
      </c>
      <c r="N14" s="16">
        <f t="shared" si="3"/>
        <v>119.56168831168824</v>
      </c>
      <c r="O14" s="18">
        <f t="shared" si="4"/>
        <v>0</v>
      </c>
      <c r="P14" s="19">
        <f t="shared" si="5"/>
        <v>-5.4383116883117566</v>
      </c>
      <c r="Q14" s="20">
        <f t="shared" si="6"/>
        <v>0.95649350649350595</v>
      </c>
      <c r="R14" s="170"/>
      <c r="S14" s="27">
        <v>0.70833333333333337</v>
      </c>
      <c r="T14" s="27">
        <v>0.76180555555555562</v>
      </c>
      <c r="U14" s="4" t="str">
        <f t="shared" ref="U14:U16" si="18">IF(S14=TIME(17,0,0),"",(S14-T13)*24*60)</f>
        <v/>
      </c>
      <c r="V14" s="21">
        <f t="shared" si="17"/>
        <v>77.000000000000043</v>
      </c>
      <c r="W14" s="22"/>
      <c r="X14" s="22"/>
      <c r="Y14" s="22"/>
      <c r="Z14" s="22"/>
      <c r="AA14" s="162"/>
      <c r="AB14" s="162"/>
      <c r="AC14" s="24"/>
      <c r="AD14" s="24"/>
      <c r="AE14" s="18">
        <f t="shared" si="8"/>
        <v>-87.012987012988106</v>
      </c>
      <c r="AF14" s="20">
        <f t="shared" si="9"/>
        <v>0.95649350649350595</v>
      </c>
      <c r="AG14" s="170"/>
    </row>
    <row r="15" spans="1:33" ht="16.5" customHeight="1">
      <c r="A15" s="195" t="s">
        <v>2475</v>
      </c>
      <c r="B15" s="4" t="s">
        <v>78</v>
      </c>
      <c r="C15" s="190" t="s">
        <v>83</v>
      </c>
      <c r="D15" s="190"/>
      <c r="E15" s="35">
        <v>50.67</v>
      </c>
      <c r="F15" s="4">
        <v>563</v>
      </c>
      <c r="G15" s="4">
        <f t="shared" si="15"/>
        <v>28527.210000000003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1987.058823529419</v>
      </c>
      <c r="N15" s="16">
        <f t="shared" si="3"/>
        <v>124.19117647058869</v>
      </c>
      <c r="O15" s="18">
        <f t="shared" si="4"/>
        <v>0</v>
      </c>
      <c r="P15" s="19">
        <f t="shared" si="5"/>
        <v>-0.8088235294113133</v>
      </c>
      <c r="Q15" s="20">
        <f t="shared" si="6"/>
        <v>0.99352941176470955</v>
      </c>
      <c r="R15" s="170"/>
      <c r="S15" s="27">
        <v>0.76527777777777783</v>
      </c>
      <c r="T15" s="27">
        <v>0.77708333333333335</v>
      </c>
      <c r="U15" s="4">
        <f t="shared" si="18"/>
        <v>4.9999999999999822</v>
      </c>
      <c r="V15" s="21">
        <f t="shared" si="17"/>
        <v>16.99999999999994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-12.941176470581013</v>
      </c>
      <c r="AF15" s="20">
        <f t="shared" si="9"/>
        <v>0.99352941176470955</v>
      </c>
      <c r="AG15" s="170"/>
    </row>
    <row r="16" spans="1:33" ht="16.5" customHeight="1">
      <c r="A16" s="195" t="s">
        <v>2475</v>
      </c>
      <c r="B16" s="4" t="s">
        <v>78</v>
      </c>
      <c r="C16" s="190" t="s">
        <v>90</v>
      </c>
      <c r="D16" s="190"/>
      <c r="E16" s="35">
        <v>50.92</v>
      </c>
      <c r="F16" s="4">
        <v>2337</v>
      </c>
      <c r="G16" s="4">
        <f t="shared" si="15"/>
        <v>119000.04000000001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1920.8219178082179</v>
      </c>
      <c r="N16" s="16">
        <f t="shared" si="3"/>
        <v>128.05479452054786</v>
      </c>
      <c r="O16" s="18">
        <f t="shared" si="4"/>
        <v>0</v>
      </c>
      <c r="P16" s="19">
        <f t="shared" si="5"/>
        <v>-5.2785388127854844</v>
      </c>
      <c r="Q16" s="20">
        <f t="shared" si="6"/>
        <v>0.96041095890410888</v>
      </c>
      <c r="R16" s="170"/>
      <c r="S16" s="27">
        <v>0.78263888888888888</v>
      </c>
      <c r="T16" s="27">
        <v>0.83333333333333337</v>
      </c>
      <c r="U16" s="4">
        <f t="shared" si="18"/>
        <v>7.9999999999999716</v>
      </c>
      <c r="V16" s="21">
        <f t="shared" si="17"/>
        <v>73.000000000000057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-79.178082191782096</v>
      </c>
      <c r="AF16" s="20">
        <f t="shared" si="9"/>
        <v>0.96041095890410899</v>
      </c>
      <c r="AG16" s="170"/>
    </row>
    <row r="17" spans="1:33" ht="16.5" customHeight="1">
      <c r="A17" s="195" t="s">
        <v>2475</v>
      </c>
      <c r="B17" s="35" t="s">
        <v>2472</v>
      </c>
      <c r="C17" s="171"/>
      <c r="D17" s="171"/>
      <c r="E17" s="36"/>
      <c r="F17" s="16"/>
      <c r="G17" s="16"/>
      <c r="H17" s="4"/>
      <c r="I17" s="29">
        <v>18.25</v>
      </c>
      <c r="J17" s="17">
        <v>1875</v>
      </c>
      <c r="K17" s="16">
        <f t="shared" si="1"/>
        <v>102.73972602739725</v>
      </c>
      <c r="L17" s="29">
        <v>18.25</v>
      </c>
      <c r="M17" s="17">
        <f>AVERAGE(M13:M16)</f>
        <v>1813.9403428364812</v>
      </c>
      <c r="N17" s="16">
        <f t="shared" si="3"/>
        <v>99.393991388300336</v>
      </c>
      <c r="O17" s="18">
        <f t="shared" si="4"/>
        <v>0</v>
      </c>
      <c r="P17" s="19">
        <f t="shared" si="5"/>
        <v>-3.3457346390969178</v>
      </c>
      <c r="Q17" s="20">
        <f t="shared" si="6"/>
        <v>0.96743484951279002</v>
      </c>
      <c r="R17" s="170"/>
      <c r="S17" s="27"/>
      <c r="T17" s="27"/>
      <c r="U17" s="4"/>
      <c r="V17" s="21"/>
      <c r="W17" s="16"/>
      <c r="X17" s="16"/>
      <c r="Y17" s="30">
        <f>SUM(Y13:Y16)</f>
        <v>0</v>
      </c>
      <c r="Z17" s="30">
        <f>SUM(Z13:Z16)</f>
        <v>0</v>
      </c>
      <c r="AA17" s="166"/>
      <c r="AB17" s="166"/>
      <c r="AC17" s="30">
        <v>4</v>
      </c>
      <c r="AD17" s="30">
        <f>SUM(AD13:AD16)</f>
        <v>0</v>
      </c>
      <c r="AE17" s="18">
        <f t="shared" si="8"/>
        <v>-61.05965716351875</v>
      </c>
      <c r="AF17" s="20">
        <f t="shared" si="9"/>
        <v>0.96743484951279002</v>
      </c>
      <c r="AG17" s="170"/>
    </row>
    <row r="18" spans="1:33" ht="15.75" customHeight="1">
      <c r="A18" s="192" t="s">
        <v>2476</v>
      </c>
      <c r="B18" s="35" t="s">
        <v>78</v>
      </c>
      <c r="C18" s="190" t="s">
        <v>92</v>
      </c>
      <c r="D18" s="190"/>
      <c r="E18" s="35">
        <v>57.73</v>
      </c>
      <c r="F18" s="4">
        <v>2319</v>
      </c>
      <c r="G18" s="4">
        <f t="shared" ref="G18:G23" si="19">E18*F18</f>
        <v>133875.87</v>
      </c>
      <c r="H18" s="21" t="s">
        <v>133</v>
      </c>
      <c r="I18" s="15">
        <v>14</v>
      </c>
      <c r="J18" s="17">
        <v>2000</v>
      </c>
      <c r="K18" s="16">
        <f t="shared" si="1"/>
        <v>142.85714285714286</v>
      </c>
      <c r="L18" s="15">
        <v>14</v>
      </c>
      <c r="M18" s="17">
        <f t="shared" ref="M18:M23" si="20">F18/V18*60</f>
        <v>1906.0273972602736</v>
      </c>
      <c r="N18" s="16">
        <f t="shared" si="3"/>
        <v>136.14481409001954</v>
      </c>
      <c r="O18" s="18">
        <f t="shared" si="4"/>
        <v>0</v>
      </c>
      <c r="P18" s="19">
        <f t="shared" si="5"/>
        <v>-6.7123287671233243</v>
      </c>
      <c r="Q18" s="20">
        <f t="shared" si="6"/>
        <v>0.95301369863013674</v>
      </c>
      <c r="R18" s="170">
        <f>Q24</f>
        <v>0.96107866204644721</v>
      </c>
      <c r="S18" s="27">
        <v>0.20833333333333334</v>
      </c>
      <c r="T18" s="27">
        <v>0.2590277777777778</v>
      </c>
      <c r="U18" s="4"/>
      <c r="V18" s="21">
        <f t="shared" ref="V18:V23" si="21">(T18-S18)*24*60</f>
        <v>73.000000000000014</v>
      </c>
      <c r="W18" s="27"/>
      <c r="X18" s="27"/>
      <c r="Y18" s="27"/>
      <c r="Z18" s="27"/>
      <c r="AA18" s="162"/>
      <c r="AB18" s="162"/>
      <c r="AC18" s="24">
        <v>6</v>
      </c>
      <c r="AD18" s="24"/>
      <c r="AE18" s="18">
        <f t="shared" si="8"/>
        <v>-93.972602739726426</v>
      </c>
      <c r="AF18" s="20">
        <f t="shared" si="9"/>
        <v>0.95301369863013674</v>
      </c>
      <c r="AG18" s="170">
        <f>AF24</f>
        <v>0.96107866204644721</v>
      </c>
    </row>
    <row r="19" spans="1:33" ht="15.75" customHeight="1">
      <c r="A19" s="193" t="s">
        <v>2477</v>
      </c>
      <c r="B19" s="35" t="s">
        <v>78</v>
      </c>
      <c r="C19" s="190" t="s">
        <v>93</v>
      </c>
      <c r="D19" s="190"/>
      <c r="E19" s="35">
        <v>53.68</v>
      </c>
      <c r="F19" s="4">
        <v>1357</v>
      </c>
      <c r="G19" s="4">
        <f t="shared" si="19"/>
        <v>72843.759999999995</v>
      </c>
      <c r="H19" s="21" t="s">
        <v>133</v>
      </c>
      <c r="I19" s="15">
        <v>16</v>
      </c>
      <c r="J19" s="17">
        <v>2000</v>
      </c>
      <c r="K19" s="16">
        <f t="shared" si="1"/>
        <v>125</v>
      </c>
      <c r="L19" s="15">
        <v>16</v>
      </c>
      <c r="M19" s="17">
        <f t="shared" si="20"/>
        <v>1938.5714285714278</v>
      </c>
      <c r="N19" s="16">
        <f t="shared" si="3"/>
        <v>121.16071428571423</v>
      </c>
      <c r="O19" s="18">
        <f t="shared" si="4"/>
        <v>0</v>
      </c>
      <c r="P19" s="19">
        <f t="shared" si="5"/>
        <v>-3.839285714285765</v>
      </c>
      <c r="Q19" s="20">
        <f t="shared" si="6"/>
        <v>0.96928571428571386</v>
      </c>
      <c r="R19" s="170"/>
      <c r="S19" s="27">
        <v>0.2638888888888889</v>
      </c>
      <c r="T19" s="27">
        <v>0.29305555555555557</v>
      </c>
      <c r="U19" s="4">
        <f t="shared" ref="U19:U23" si="22">IF(S19=TIME(17,0,0),"",(S19-T18)*24*60)</f>
        <v>6.9999999999999751</v>
      </c>
      <c r="V19" s="21">
        <f t="shared" si="21"/>
        <v>42.000000000000014</v>
      </c>
      <c r="W19" s="22"/>
      <c r="X19" s="4"/>
      <c r="Y19" s="4"/>
      <c r="Z19" s="4"/>
      <c r="AA19" s="162"/>
      <c r="AB19" s="162"/>
      <c r="AC19" s="24"/>
      <c r="AD19" s="24"/>
      <c r="AE19" s="18">
        <f t="shared" si="8"/>
        <v>-61.428571428572241</v>
      </c>
      <c r="AF19" s="20">
        <f t="shared" si="9"/>
        <v>0.96928571428571386</v>
      </c>
      <c r="AG19" s="170"/>
    </row>
    <row r="20" spans="1:33" ht="15.75" customHeight="1">
      <c r="A20" s="193" t="s">
        <v>2476</v>
      </c>
      <c r="B20" s="35" t="s">
        <v>78</v>
      </c>
      <c r="C20" s="190" t="s">
        <v>2127</v>
      </c>
      <c r="D20" s="190"/>
      <c r="E20" s="35">
        <v>50.67</v>
      </c>
      <c r="F20" s="4">
        <v>2936</v>
      </c>
      <c r="G20" s="4">
        <f t="shared" si="19"/>
        <v>148767.12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1914.7826086956522</v>
      </c>
      <c r="N20" s="16">
        <f t="shared" si="3"/>
        <v>119.67391304347827</v>
      </c>
      <c r="O20" s="18">
        <f t="shared" si="4"/>
        <v>0</v>
      </c>
      <c r="P20" s="19">
        <f t="shared" si="5"/>
        <v>-5.3260869565217348</v>
      </c>
      <c r="Q20" s="20">
        <f t="shared" si="6"/>
        <v>0.95739130434782616</v>
      </c>
      <c r="R20" s="170"/>
      <c r="S20" s="27">
        <v>0.2986111111111111</v>
      </c>
      <c r="T20" s="27">
        <v>0.36249999999999999</v>
      </c>
      <c r="U20" s="4">
        <f t="shared" si="22"/>
        <v>7.9999999999999716</v>
      </c>
      <c r="V20" s="21">
        <f t="shared" si="21"/>
        <v>92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-85.217391304347757</v>
      </c>
      <c r="AF20" s="20">
        <f t="shared" si="9"/>
        <v>0.95739130434782616</v>
      </c>
      <c r="AG20" s="170"/>
    </row>
    <row r="21" spans="1:33" ht="15.75" customHeight="1">
      <c r="A21" s="193" t="s">
        <v>2476</v>
      </c>
      <c r="B21" s="35" t="s">
        <v>78</v>
      </c>
      <c r="C21" s="190" t="s">
        <v>94</v>
      </c>
      <c r="D21" s="190"/>
      <c r="E21" s="35">
        <v>50.49</v>
      </c>
      <c r="F21" s="4">
        <v>2026</v>
      </c>
      <c r="G21" s="4">
        <f t="shared" si="19"/>
        <v>102292.74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1929.5238095238117</v>
      </c>
      <c r="N21" s="16">
        <f t="shared" si="3"/>
        <v>128.63492063492077</v>
      </c>
      <c r="O21" s="18">
        <f t="shared" si="4"/>
        <v>0</v>
      </c>
      <c r="P21" s="19">
        <f t="shared" si="5"/>
        <v>-4.698412698412568</v>
      </c>
      <c r="Q21" s="20">
        <f t="shared" si="6"/>
        <v>0.96476190476190571</v>
      </c>
      <c r="R21" s="170"/>
      <c r="S21" s="27">
        <v>0.70833333333333337</v>
      </c>
      <c r="T21" s="27">
        <v>0.75208333333333333</v>
      </c>
      <c r="U21" s="4" t="str">
        <f t="shared" si="22"/>
        <v/>
      </c>
      <c r="V21" s="21">
        <f t="shared" si="21"/>
        <v>62.999999999999936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-70.476190476188322</v>
      </c>
      <c r="AF21" s="20">
        <f t="shared" si="9"/>
        <v>0.96476190476190582</v>
      </c>
      <c r="AG21" s="170"/>
    </row>
    <row r="22" spans="1:33" ht="15.75" customHeight="1">
      <c r="A22" s="193" t="s">
        <v>2477</v>
      </c>
      <c r="B22" s="35" t="s">
        <v>78</v>
      </c>
      <c r="C22" s="190" t="s">
        <v>96</v>
      </c>
      <c r="D22" s="190"/>
      <c r="E22" s="35">
        <v>57.3</v>
      </c>
      <c r="F22" s="4">
        <v>1673</v>
      </c>
      <c r="G22" s="4">
        <f t="shared" si="19"/>
        <v>95862.9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1930.3846153846164</v>
      </c>
      <c r="N22" s="16">
        <f t="shared" si="3"/>
        <v>148.49112426035509</v>
      </c>
      <c r="O22" s="18">
        <f t="shared" si="4"/>
        <v>0</v>
      </c>
      <c r="P22" s="19">
        <f t="shared" si="5"/>
        <v>-5.3550295857987464</v>
      </c>
      <c r="Q22" s="20">
        <f t="shared" si="6"/>
        <v>0.96519230769230813</v>
      </c>
      <c r="R22" s="170"/>
      <c r="S22" s="27">
        <v>0.75555555555555554</v>
      </c>
      <c r="T22" s="27">
        <v>0.79166666666666663</v>
      </c>
      <c r="U22" s="4">
        <f t="shared" si="22"/>
        <v>4.9999999999999822</v>
      </c>
      <c r="V22" s="21">
        <f t="shared" si="21"/>
        <v>51.999999999999972</v>
      </c>
      <c r="W22" s="22"/>
      <c r="X22" s="22"/>
      <c r="Y22" s="4"/>
      <c r="Z22" s="4"/>
      <c r="AA22" s="162"/>
      <c r="AB22" s="162"/>
      <c r="AC22" s="24"/>
      <c r="AD22" s="24"/>
      <c r="AE22" s="18">
        <f t="shared" si="8"/>
        <v>-69.615384615383618</v>
      </c>
      <c r="AF22" s="20">
        <f t="shared" si="9"/>
        <v>0.96519230769230824</v>
      </c>
      <c r="AG22" s="170"/>
    </row>
    <row r="23" spans="1:33" ht="15.75" customHeight="1">
      <c r="A23" s="193" t="s">
        <v>2476</v>
      </c>
      <c r="B23" s="35" t="s">
        <v>78</v>
      </c>
      <c r="C23" s="190" t="s">
        <v>95</v>
      </c>
      <c r="D23" s="190"/>
      <c r="E23" s="35">
        <v>53.68</v>
      </c>
      <c r="F23" s="4">
        <v>1457</v>
      </c>
      <c r="G23" s="4">
        <f t="shared" si="19"/>
        <v>78211.759999999995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1433.114754098362</v>
      </c>
      <c r="N23" s="16">
        <f t="shared" si="3"/>
        <v>89.569672131147627</v>
      </c>
      <c r="O23" s="18">
        <f t="shared" si="4"/>
        <v>0</v>
      </c>
      <c r="P23" s="19">
        <f t="shared" si="5"/>
        <v>-4.1803278688523733</v>
      </c>
      <c r="Q23" s="20">
        <f t="shared" si="6"/>
        <v>0.95540983606557472</v>
      </c>
      <c r="R23" s="170"/>
      <c r="S23" s="27">
        <v>0.79513888888888884</v>
      </c>
      <c r="T23" s="27">
        <v>0.83749999999999991</v>
      </c>
      <c r="U23" s="4">
        <f t="shared" si="22"/>
        <v>4.9999999999999822</v>
      </c>
      <c r="V23" s="21">
        <f t="shared" si="21"/>
        <v>60.999999999999943</v>
      </c>
      <c r="W23" s="22"/>
      <c r="X23" s="27"/>
      <c r="Y23" s="27"/>
      <c r="Z23" s="27"/>
      <c r="AA23" s="162"/>
      <c r="AB23" s="162"/>
      <c r="AC23" s="24"/>
      <c r="AD23" s="24"/>
      <c r="AE23" s="18">
        <f t="shared" si="8"/>
        <v>-66.885245901637973</v>
      </c>
      <c r="AF23" s="20">
        <f t="shared" si="9"/>
        <v>0.95540983606557472</v>
      </c>
      <c r="AG23" s="170"/>
    </row>
    <row r="24" spans="1:33" ht="15.75" customHeight="1">
      <c r="A24" s="193" t="s">
        <v>2476</v>
      </c>
      <c r="B24" s="35" t="s">
        <v>2478</v>
      </c>
      <c r="C24" s="171"/>
      <c r="D24" s="171"/>
      <c r="E24" s="36"/>
      <c r="F24" s="4"/>
      <c r="G24" s="4"/>
      <c r="H24" s="4"/>
      <c r="I24" s="29">
        <v>15</v>
      </c>
      <c r="J24" s="17">
        <v>1916.6666666666667</v>
      </c>
      <c r="K24" s="16">
        <f t="shared" si="1"/>
        <v>127.77777777777779</v>
      </c>
      <c r="L24" s="29">
        <v>15</v>
      </c>
      <c r="M24" s="17">
        <f>AVERAGE(M18:M23)</f>
        <v>1842.0674355890239</v>
      </c>
      <c r="N24" s="16">
        <f t="shared" si="3"/>
        <v>122.80449570593493</v>
      </c>
      <c r="O24" s="18">
        <f t="shared" si="4"/>
        <v>0</v>
      </c>
      <c r="P24" s="19">
        <f t="shared" si="5"/>
        <v>-4.9732820718428599</v>
      </c>
      <c r="Q24" s="20">
        <f t="shared" si="6"/>
        <v>0.96107866204644721</v>
      </c>
      <c r="R24" s="170"/>
      <c r="S24" s="27"/>
      <c r="T24" s="27"/>
      <c r="U24" s="16"/>
      <c r="V24" s="21"/>
      <c r="W24" s="16"/>
      <c r="X24" s="16"/>
      <c r="Y24" s="30">
        <f>SUM(Y18:Y23)</f>
        <v>0</v>
      </c>
      <c r="Z24" s="30">
        <f>SUM(Z18:Z23)</f>
        <v>0</v>
      </c>
      <c r="AA24" s="166"/>
      <c r="AB24" s="166"/>
      <c r="AC24" s="30">
        <v>6</v>
      </c>
      <c r="AD24" s="30">
        <f>SUM(AD18:AD23)</f>
        <v>0</v>
      </c>
      <c r="AE24" s="18">
        <f t="shared" si="8"/>
        <v>-74.599231077642798</v>
      </c>
      <c r="AF24" s="20">
        <f t="shared" si="9"/>
        <v>0.96107866204644721</v>
      </c>
      <c r="AG24" s="170"/>
    </row>
    <row r="25" spans="1:33" ht="15.75" customHeight="1">
      <c r="A25" s="191" t="s">
        <v>2479</v>
      </c>
      <c r="B25" s="35" t="s">
        <v>97</v>
      </c>
      <c r="C25" s="190" t="s">
        <v>98</v>
      </c>
      <c r="D25" s="190"/>
      <c r="E25" s="35">
        <v>31.29</v>
      </c>
      <c r="F25" s="4">
        <v>7857</v>
      </c>
      <c r="G25" s="4">
        <f t="shared" ref="G25:G29" si="23">E25*F25</f>
        <v>245845.53</v>
      </c>
      <c r="H25" s="21" t="s">
        <v>133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29" si="24">F25/V25*60</f>
        <v>2288.4466019417473</v>
      </c>
      <c r="N25" s="16">
        <f t="shared" si="3"/>
        <v>127.13592233009707</v>
      </c>
      <c r="O25" s="18">
        <f t="shared" si="4"/>
        <v>0</v>
      </c>
      <c r="P25" s="19">
        <f t="shared" si="5"/>
        <v>-6.1974110032362688</v>
      </c>
      <c r="Q25" s="20">
        <f t="shared" si="6"/>
        <v>0.95351941747572799</v>
      </c>
      <c r="R25" s="170">
        <f>Q30</f>
        <v>0.96090957289781542</v>
      </c>
      <c r="S25" s="27">
        <v>8.3333333333333329E-2</v>
      </c>
      <c r="T25" s="27">
        <v>0.22638888888888886</v>
      </c>
      <c r="U25" s="4"/>
      <c r="V25" s="21">
        <f t="shared" ref="V25:V29" si="25">(T25-S25)*24*60</f>
        <v>206</v>
      </c>
      <c r="W25" s="22">
        <f>T25</f>
        <v>0.22638888888888886</v>
      </c>
      <c r="X25" s="22">
        <f>S26</f>
        <v>0.24513888888888885</v>
      </c>
      <c r="Y25" s="22"/>
      <c r="Z25" s="22"/>
      <c r="AA25" s="162"/>
      <c r="AB25" s="162"/>
      <c r="AC25" s="24">
        <v>5</v>
      </c>
      <c r="AD25" s="24"/>
      <c r="AE25" s="18">
        <f t="shared" si="8"/>
        <v>-111.5533980582527</v>
      </c>
      <c r="AF25" s="20">
        <f t="shared" si="9"/>
        <v>0.95351941747572799</v>
      </c>
      <c r="AG25" s="170">
        <f>AF30</f>
        <v>0.96090957289781542</v>
      </c>
    </row>
    <row r="26" spans="1:33" ht="15.75" customHeight="1">
      <c r="A26" s="191" t="s">
        <v>2480</v>
      </c>
      <c r="B26" s="35" t="s">
        <v>97</v>
      </c>
      <c r="C26" s="190" t="s">
        <v>99</v>
      </c>
      <c r="D26" s="190"/>
      <c r="E26" s="35">
        <v>25.98</v>
      </c>
      <c r="F26" s="4">
        <v>2507</v>
      </c>
      <c r="G26" s="4">
        <f t="shared" si="23"/>
        <v>65131.86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2314.1538461538457</v>
      </c>
      <c r="N26" s="16">
        <f t="shared" si="3"/>
        <v>110.19780219780218</v>
      </c>
      <c r="O26" s="18">
        <f t="shared" si="4"/>
        <v>0</v>
      </c>
      <c r="P26" s="19">
        <f t="shared" si="5"/>
        <v>-4.087912087912116</v>
      </c>
      <c r="Q26" s="20">
        <f t="shared" si="6"/>
        <v>0.964230769230769</v>
      </c>
      <c r="R26" s="170"/>
      <c r="S26" s="27">
        <v>0.24513888888888885</v>
      </c>
      <c r="T26" s="27">
        <v>0.29027777777777775</v>
      </c>
      <c r="U26" s="4">
        <f t="shared" ref="U26:U29" si="26">(S26-T25)*24*60</f>
        <v>26.999999999999986</v>
      </c>
      <c r="V26" s="21">
        <f t="shared" si="25"/>
        <v>65.000000000000014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-85.846153846154266</v>
      </c>
      <c r="AF26" s="20">
        <f t="shared" si="9"/>
        <v>0.964230769230769</v>
      </c>
      <c r="AG26" s="170"/>
    </row>
    <row r="27" spans="1:33" ht="15.75" customHeight="1">
      <c r="A27" s="191" t="s">
        <v>2481</v>
      </c>
      <c r="B27" s="35" t="s">
        <v>97</v>
      </c>
      <c r="C27" s="190" t="s">
        <v>100</v>
      </c>
      <c r="D27" s="190"/>
      <c r="E27" s="35">
        <v>26.2</v>
      </c>
      <c r="F27" s="4">
        <v>4484</v>
      </c>
      <c r="G27" s="4">
        <f t="shared" si="23"/>
        <v>117480.8</v>
      </c>
      <c r="H27" s="21" t="s">
        <v>133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2299.4871794871797</v>
      </c>
      <c r="N27" s="16">
        <f t="shared" si="3"/>
        <v>114.97435897435898</v>
      </c>
      <c r="O27" s="18">
        <f t="shared" si="4"/>
        <v>0</v>
      </c>
      <c r="P27" s="19">
        <f t="shared" si="5"/>
        <v>-5.025641025641022</v>
      </c>
      <c r="Q27" s="20">
        <f t="shared" si="6"/>
        <v>0.95811965811965816</v>
      </c>
      <c r="R27" s="170"/>
      <c r="S27" s="27">
        <v>0.2944444444444444</v>
      </c>
      <c r="T27" s="27">
        <v>0.37569444444444439</v>
      </c>
      <c r="U27" s="4">
        <f t="shared" si="26"/>
        <v>5.9999999999999787</v>
      </c>
      <c r="V27" s="21">
        <f t="shared" si="25"/>
        <v>116.99999999999999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-100.51282051282033</v>
      </c>
      <c r="AF27" s="20">
        <f t="shared" si="9"/>
        <v>0.95811965811965816</v>
      </c>
      <c r="AG27" s="170"/>
    </row>
    <row r="28" spans="1:33" ht="15.75" customHeight="1">
      <c r="A28" s="191" t="s">
        <v>2481</v>
      </c>
      <c r="B28" s="35" t="s">
        <v>97</v>
      </c>
      <c r="C28" s="190" t="s">
        <v>101</v>
      </c>
      <c r="D28" s="190"/>
      <c r="E28" s="35">
        <v>25.99</v>
      </c>
      <c r="F28" s="4">
        <v>3409</v>
      </c>
      <c r="G28" s="4">
        <f t="shared" si="23"/>
        <v>88599.909999999989</v>
      </c>
      <c r="H28" s="21" t="s">
        <v>133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2298.2022471910109</v>
      </c>
      <c r="N28" s="16">
        <f t="shared" si="3"/>
        <v>164.15730337078648</v>
      </c>
      <c r="O28" s="18">
        <f t="shared" si="4"/>
        <v>0</v>
      </c>
      <c r="P28" s="19">
        <f t="shared" si="5"/>
        <v>-7.2712680577849369</v>
      </c>
      <c r="Q28" s="20">
        <f t="shared" si="6"/>
        <v>0.95758426966292121</v>
      </c>
      <c r="R28" s="170"/>
      <c r="S28" s="27">
        <v>0.38055555555555548</v>
      </c>
      <c r="T28" s="27">
        <v>0.44236111111111104</v>
      </c>
      <c r="U28" s="4">
        <f t="shared" si="26"/>
        <v>6.9999999999999751</v>
      </c>
      <c r="V28" s="21">
        <f t="shared" si="25"/>
        <v>89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-101.79775280898912</v>
      </c>
      <c r="AF28" s="20">
        <f t="shared" si="9"/>
        <v>0.95758426966292121</v>
      </c>
      <c r="AG28" s="170"/>
    </row>
    <row r="29" spans="1:33" ht="15.75" customHeight="1">
      <c r="A29" s="191" t="s">
        <v>2481</v>
      </c>
      <c r="B29" s="35" t="s">
        <v>97</v>
      </c>
      <c r="C29" s="190" t="s">
        <v>102</v>
      </c>
      <c r="D29" s="190"/>
      <c r="E29" s="35">
        <v>26.18</v>
      </c>
      <c r="F29" s="4">
        <v>1243</v>
      </c>
      <c r="G29" s="4">
        <f t="shared" si="23"/>
        <v>32541.739999999998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2330.6250000000027</v>
      </c>
      <c r="N29" s="16">
        <f t="shared" si="3"/>
        <v>122.66447368421068</v>
      </c>
      <c r="O29" s="18">
        <f t="shared" si="4"/>
        <v>0</v>
      </c>
      <c r="P29" s="19">
        <f t="shared" si="5"/>
        <v>-3.6513157894735286</v>
      </c>
      <c r="Q29" s="20">
        <f t="shared" si="6"/>
        <v>0.9710937500000012</v>
      </c>
      <c r="R29" s="170"/>
      <c r="S29" s="27">
        <v>0.44652777777777769</v>
      </c>
      <c r="T29" s="27">
        <v>0.46874999999999989</v>
      </c>
      <c r="U29" s="4">
        <f t="shared" si="26"/>
        <v>5.9999999999999787</v>
      </c>
      <c r="V29" s="21">
        <f t="shared" si="25"/>
        <v>31.999999999999964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-69.374999999997272</v>
      </c>
      <c r="AF29" s="20">
        <f t="shared" si="9"/>
        <v>0.97109375000000109</v>
      </c>
      <c r="AG29" s="170"/>
    </row>
    <row r="30" spans="1:33" ht="15.75" customHeight="1">
      <c r="A30" s="191" t="s">
        <v>54</v>
      </c>
      <c r="B30" s="35" t="s">
        <v>2482</v>
      </c>
      <c r="C30" s="171"/>
      <c r="D30" s="171"/>
      <c r="E30" s="36"/>
      <c r="F30" s="4"/>
      <c r="G30" s="4"/>
      <c r="H30" s="4"/>
      <c r="I30" s="29">
        <v>18.399999999999999</v>
      </c>
      <c r="J30" s="17">
        <v>2400</v>
      </c>
      <c r="K30" s="16">
        <f t="shared" si="1"/>
        <v>130.43478260869566</v>
      </c>
      <c r="L30" s="29">
        <v>18.399999999999999</v>
      </c>
      <c r="M30" s="17">
        <f>AVERAGE(M25:M29)</f>
        <v>2306.1829749547569</v>
      </c>
      <c r="N30" s="16">
        <f t="shared" si="3"/>
        <v>125.33603124754114</v>
      </c>
      <c r="O30" s="18">
        <f t="shared" si="4"/>
        <v>0</v>
      </c>
      <c r="P30" s="19">
        <f t="shared" si="5"/>
        <v>-5.0987513611545126</v>
      </c>
      <c r="Q30" s="20">
        <f t="shared" si="6"/>
        <v>0.96090957289781542</v>
      </c>
      <c r="R30" s="170"/>
      <c r="S30" s="27"/>
      <c r="T30" s="27"/>
      <c r="U30" s="4"/>
      <c r="V30" s="21"/>
      <c r="W30" s="4"/>
      <c r="X30" s="4"/>
      <c r="Y30" s="30">
        <f>SUM(Y25:Y29)</f>
        <v>0</v>
      </c>
      <c r="Z30" s="30">
        <f>SUM(Z25:Z29)</f>
        <v>0</v>
      </c>
      <c r="AA30" s="166"/>
      <c r="AB30" s="166"/>
      <c r="AC30" s="30">
        <v>5</v>
      </c>
      <c r="AD30" s="30">
        <f>SUM(AD25:AD29)</f>
        <v>0</v>
      </c>
      <c r="AE30" s="18">
        <f t="shared" si="8"/>
        <v>-93.817025045243099</v>
      </c>
      <c r="AF30" s="20">
        <f t="shared" si="9"/>
        <v>0.96090957289781542</v>
      </c>
      <c r="AG30" s="170"/>
    </row>
    <row r="31" spans="1:33" ht="15.75" customHeight="1">
      <c r="A31" s="188" t="s">
        <v>2483</v>
      </c>
      <c r="B31" s="35" t="s">
        <v>97</v>
      </c>
      <c r="C31" s="163" t="s">
        <v>103</v>
      </c>
      <c r="D31" s="163"/>
      <c r="E31" s="35">
        <v>26.2</v>
      </c>
      <c r="F31" s="4">
        <v>5814</v>
      </c>
      <c r="G31" s="4">
        <f t="shared" ref="G31:G35" si="27">E31*F31</f>
        <v>152326.79999999999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ref="M31:M35" si="28">F31/V31*60</f>
        <v>2295</v>
      </c>
      <c r="N31" s="16">
        <f t="shared" si="3"/>
        <v>127.5</v>
      </c>
      <c r="O31" s="18">
        <f t="shared" si="4"/>
        <v>0</v>
      </c>
      <c r="P31" s="19">
        <f t="shared" si="5"/>
        <v>-5.8333333333333428</v>
      </c>
      <c r="Q31" s="20">
        <f t="shared" si="6"/>
        <v>0.95624999999999993</v>
      </c>
      <c r="R31" s="170">
        <f>Q36</f>
        <v>0.95453670978203198</v>
      </c>
      <c r="S31" s="27">
        <v>8.3333333333333329E-2</v>
      </c>
      <c r="T31" s="27">
        <v>0.18888888888888888</v>
      </c>
      <c r="U31" s="4"/>
      <c r="V31" s="21">
        <f t="shared" ref="V31:V35" si="29">(T31-S31)*24*60</f>
        <v>152</v>
      </c>
      <c r="W31" s="27">
        <f>T31</f>
        <v>0.18888888888888888</v>
      </c>
      <c r="X31" s="27">
        <f>S32</f>
        <v>0.20902777777777778</v>
      </c>
      <c r="Y31" s="27"/>
      <c r="Z31" s="27"/>
      <c r="AA31" s="162"/>
      <c r="AB31" s="162"/>
      <c r="AC31" s="24">
        <v>5</v>
      </c>
      <c r="AD31" s="24"/>
      <c r="AE31" s="18">
        <f t="shared" si="8"/>
        <v>-105</v>
      </c>
      <c r="AF31" s="20">
        <f t="shared" si="9"/>
        <v>0.95625000000000004</v>
      </c>
      <c r="AG31" s="170">
        <f>AF36</f>
        <v>0.95453670978203187</v>
      </c>
    </row>
    <row r="32" spans="1:33" ht="15.75" customHeight="1">
      <c r="A32" s="188" t="s">
        <v>2483</v>
      </c>
      <c r="B32" s="35" t="s">
        <v>97</v>
      </c>
      <c r="C32" s="163" t="s">
        <v>104</v>
      </c>
      <c r="D32" s="163"/>
      <c r="E32" s="35">
        <v>20.52</v>
      </c>
      <c r="F32" s="4">
        <v>3062</v>
      </c>
      <c r="G32" s="4">
        <f t="shared" si="27"/>
        <v>62832.24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8"/>
        <v>2296.5</v>
      </c>
      <c r="N32" s="16">
        <f t="shared" si="3"/>
        <v>127.58333333333333</v>
      </c>
      <c r="O32" s="18">
        <f t="shared" si="4"/>
        <v>0</v>
      </c>
      <c r="P32" s="19">
        <f t="shared" si="5"/>
        <v>-5.7500000000000142</v>
      </c>
      <c r="Q32" s="20">
        <f t="shared" si="6"/>
        <v>0.95687499999999992</v>
      </c>
      <c r="R32" s="170"/>
      <c r="S32" s="27">
        <v>0.20902777777777778</v>
      </c>
      <c r="T32" s="27">
        <v>0.26458333333333334</v>
      </c>
      <c r="U32" s="4">
        <f t="shared" ref="U32:U35" si="30">(S32-T31)*24*60</f>
        <v>29.000000000000018</v>
      </c>
      <c r="V32" s="21">
        <f t="shared" si="29"/>
        <v>80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-103.5</v>
      </c>
      <c r="AF32" s="20">
        <f t="shared" si="9"/>
        <v>0.95687500000000003</v>
      </c>
      <c r="AG32" s="170"/>
    </row>
    <row r="33" spans="1:33">
      <c r="A33" s="189" t="s">
        <v>2483</v>
      </c>
      <c r="B33" s="35" t="s">
        <v>97</v>
      </c>
      <c r="C33" s="163" t="s">
        <v>105</v>
      </c>
      <c r="D33" s="163"/>
      <c r="E33" s="35">
        <v>26.39</v>
      </c>
      <c r="F33" s="4">
        <v>4915</v>
      </c>
      <c r="G33" s="4">
        <f t="shared" si="27"/>
        <v>129706.85</v>
      </c>
      <c r="H33" s="21" t="s">
        <v>133</v>
      </c>
      <c r="I33" s="15">
        <v>19</v>
      </c>
      <c r="J33" s="17">
        <v>2400</v>
      </c>
      <c r="K33" s="16">
        <f t="shared" si="1"/>
        <v>126.31578947368421</v>
      </c>
      <c r="L33" s="15">
        <v>19</v>
      </c>
      <c r="M33" s="17">
        <f t="shared" si="28"/>
        <v>2286.0465116279065</v>
      </c>
      <c r="N33" s="16">
        <f t="shared" si="3"/>
        <v>120.31823745410034</v>
      </c>
      <c r="O33" s="18">
        <f t="shared" si="4"/>
        <v>0</v>
      </c>
      <c r="P33" s="19">
        <f t="shared" si="5"/>
        <v>-5.9975520195838641</v>
      </c>
      <c r="Q33" s="20">
        <f t="shared" si="6"/>
        <v>0.95251937984496104</v>
      </c>
      <c r="R33" s="170"/>
      <c r="S33" s="27">
        <v>0.26944444444444443</v>
      </c>
      <c r="T33" s="27">
        <v>0.35902777777777778</v>
      </c>
      <c r="U33" s="4">
        <f t="shared" si="30"/>
        <v>6.9999999999999751</v>
      </c>
      <c r="V33" s="21">
        <f t="shared" si="29"/>
        <v>129.00000000000003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-113.95348837209349</v>
      </c>
      <c r="AF33" s="20">
        <f t="shared" si="9"/>
        <v>0.95251937984496104</v>
      </c>
      <c r="AG33" s="170"/>
    </row>
    <row r="34" spans="1:33">
      <c r="A34" s="189" t="s">
        <v>59</v>
      </c>
      <c r="B34" s="35" t="s">
        <v>97</v>
      </c>
      <c r="C34" s="163" t="s">
        <v>107</v>
      </c>
      <c r="D34" s="163"/>
      <c r="E34" s="35">
        <v>20.52</v>
      </c>
      <c r="F34" s="4">
        <v>2324</v>
      </c>
      <c r="G34" s="4">
        <f t="shared" si="27"/>
        <v>47688.479999999996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2285.9016393442616</v>
      </c>
      <c r="N34" s="16">
        <f t="shared" si="3"/>
        <v>126.99453551912565</v>
      </c>
      <c r="O34" s="18">
        <f t="shared" si="4"/>
        <v>0</v>
      </c>
      <c r="P34" s="19">
        <f t="shared" si="5"/>
        <v>-6.3387978142076946</v>
      </c>
      <c r="Q34" s="20">
        <f t="shared" si="6"/>
        <v>0.95245901639344233</v>
      </c>
      <c r="R34" s="170"/>
      <c r="S34" s="27">
        <v>0.36458333333333331</v>
      </c>
      <c r="T34" s="27">
        <v>0.40694444444444444</v>
      </c>
      <c r="U34" s="4">
        <f t="shared" si="30"/>
        <v>7.9999999999999716</v>
      </c>
      <c r="V34" s="21">
        <f t="shared" si="29"/>
        <v>61.000000000000021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-114.09836065573836</v>
      </c>
      <c r="AF34" s="20">
        <f t="shared" si="9"/>
        <v>0.95245901639344233</v>
      </c>
      <c r="AG34" s="170"/>
    </row>
    <row r="35" spans="1:33">
      <c r="A35" s="189" t="s">
        <v>2483</v>
      </c>
      <c r="B35" s="35" t="s">
        <v>97</v>
      </c>
      <c r="C35" s="163" t="s">
        <v>304</v>
      </c>
      <c r="D35" s="163"/>
      <c r="E35" s="35">
        <v>22.69</v>
      </c>
      <c r="F35" s="4">
        <v>5002</v>
      </c>
      <c r="G35" s="4">
        <f t="shared" si="27"/>
        <v>113495.38</v>
      </c>
      <c r="H35" s="21" t="s">
        <v>133</v>
      </c>
      <c r="I35" s="15">
        <v>15</v>
      </c>
      <c r="J35" s="17">
        <v>2400</v>
      </c>
      <c r="K35" s="16">
        <f t="shared" si="1"/>
        <v>160</v>
      </c>
      <c r="L35" s="15">
        <v>15</v>
      </c>
      <c r="M35" s="17">
        <f t="shared" si="28"/>
        <v>2290.9923664122139</v>
      </c>
      <c r="N35" s="16">
        <f t="shared" si="3"/>
        <v>152.73282442748092</v>
      </c>
      <c r="O35" s="18">
        <f t="shared" si="4"/>
        <v>0</v>
      </c>
      <c r="P35" s="19">
        <f t="shared" si="5"/>
        <v>-7.2671755725190792</v>
      </c>
      <c r="Q35" s="20">
        <f t="shared" si="6"/>
        <v>0.95458015267175578</v>
      </c>
      <c r="R35" s="170"/>
      <c r="S35" s="27">
        <v>0.41111111111111109</v>
      </c>
      <c r="T35" s="27">
        <v>0.50208333333333333</v>
      </c>
      <c r="U35" s="4">
        <f t="shared" si="30"/>
        <v>5.9999999999999787</v>
      </c>
      <c r="V35" s="21">
        <f t="shared" si="29"/>
        <v>131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-109.00763358778613</v>
      </c>
      <c r="AF35" s="20">
        <f t="shared" si="9"/>
        <v>0.95458015267175578</v>
      </c>
      <c r="AG35" s="170"/>
    </row>
    <row r="36" spans="1:33">
      <c r="A36" s="189" t="s">
        <v>59</v>
      </c>
      <c r="B36" s="16" t="s">
        <v>48</v>
      </c>
      <c r="C36" s="171"/>
      <c r="D36" s="171"/>
      <c r="E36" s="36"/>
      <c r="F36" s="16"/>
      <c r="G36" s="16"/>
      <c r="H36" s="4"/>
      <c r="I36" s="29">
        <v>17.600000000000001</v>
      </c>
      <c r="J36" s="17">
        <v>2400</v>
      </c>
      <c r="K36" s="16">
        <f t="shared" si="1"/>
        <v>136.36363636363635</v>
      </c>
      <c r="L36" s="29">
        <v>17.600000000000001</v>
      </c>
      <c r="M36" s="17">
        <f>AVERAGE(M31:M35)</f>
        <v>2290.8881034768765</v>
      </c>
      <c r="N36" s="16">
        <f t="shared" si="3"/>
        <v>130.16409678845889</v>
      </c>
      <c r="O36" s="18">
        <f t="shared" si="4"/>
        <v>0</v>
      </c>
      <c r="P36" s="19">
        <f t="shared" si="5"/>
        <v>-6.1995395751774538</v>
      </c>
      <c r="Q36" s="20">
        <f t="shared" si="6"/>
        <v>0.95453670978203198</v>
      </c>
      <c r="R36" s="170"/>
      <c r="S36" s="27"/>
      <c r="T36" s="27"/>
      <c r="U36" s="16"/>
      <c r="V36" s="21"/>
      <c r="W36" s="16"/>
      <c r="X36" s="16"/>
      <c r="Y36" s="30">
        <f>SUM(Y31:Y35)</f>
        <v>0</v>
      </c>
      <c r="Z36" s="30">
        <f>SUM(Z31:Z35)</f>
        <v>0</v>
      </c>
      <c r="AA36" s="166"/>
      <c r="AB36" s="166"/>
      <c r="AC36" s="30">
        <v>5</v>
      </c>
      <c r="AD36" s="30">
        <f>SUM(AD31:AD35)</f>
        <v>0</v>
      </c>
      <c r="AE36" s="18">
        <f t="shared" si="8"/>
        <v>-109.11189652312351</v>
      </c>
      <c r="AF36" s="20">
        <f t="shared" si="9"/>
        <v>0.95453670978203187</v>
      </c>
      <c r="AG36" s="170"/>
    </row>
    <row r="37" spans="1:33" ht="15.75" customHeight="1">
      <c r="A37" s="182" t="s">
        <v>2484</v>
      </c>
      <c r="B37" s="35" t="s">
        <v>108</v>
      </c>
      <c r="C37" s="174" t="s">
        <v>1514</v>
      </c>
      <c r="D37" s="175"/>
      <c r="E37" s="35">
        <v>34.35</v>
      </c>
      <c r="F37" s="4">
        <v>3685</v>
      </c>
      <c r="G37" s="4">
        <f t="shared" ref="G37:G41" si="31">E37*F37</f>
        <v>126579.75</v>
      </c>
      <c r="H37" s="21" t="s">
        <v>133</v>
      </c>
      <c r="I37" s="15">
        <v>8</v>
      </c>
      <c r="J37" s="17">
        <v>3000</v>
      </c>
      <c r="K37" s="16">
        <f t="shared" si="1"/>
        <v>375</v>
      </c>
      <c r="L37" s="15">
        <v>8</v>
      </c>
      <c r="M37" s="17">
        <f t="shared" ref="M37:M41" si="32">F37/V37*60</f>
        <v>2871.4285714285706</v>
      </c>
      <c r="N37" s="17">
        <f t="shared" si="3"/>
        <v>358.92857142857133</v>
      </c>
      <c r="O37" s="18">
        <f t="shared" si="4"/>
        <v>0</v>
      </c>
      <c r="P37" s="19">
        <f t="shared" si="5"/>
        <v>-16.071428571428669</v>
      </c>
      <c r="Q37" s="20">
        <f t="shared" si="6"/>
        <v>0.95714285714285685</v>
      </c>
      <c r="R37" s="185">
        <f>Q42</f>
        <v>0.95494440983462237</v>
      </c>
      <c r="S37" s="27">
        <v>8.3333333333333329E-2</v>
      </c>
      <c r="T37" s="27">
        <v>0.13680555555555557</v>
      </c>
      <c r="U37" s="27"/>
      <c r="V37" s="21">
        <f t="shared" ref="V37:V41" si="33">(T37-S37)*24*60</f>
        <v>77.000000000000014</v>
      </c>
      <c r="W37" s="22">
        <f>T37</f>
        <v>0.13680555555555557</v>
      </c>
      <c r="X37" s="22">
        <f>S38</f>
        <v>0.15625000000000003</v>
      </c>
      <c r="Y37" s="25"/>
      <c r="Z37" s="25"/>
      <c r="AA37" s="176"/>
      <c r="AB37" s="177"/>
      <c r="AC37" s="24">
        <v>5</v>
      </c>
      <c r="AD37" s="24"/>
      <c r="AE37" s="18">
        <f t="shared" si="8"/>
        <v>-128.57142857142935</v>
      </c>
      <c r="AF37" s="20">
        <f t="shared" si="9"/>
        <v>0.95714285714285685</v>
      </c>
      <c r="AG37" s="185">
        <f>AF42</f>
        <v>0.95494440983462225</v>
      </c>
    </row>
    <row r="38" spans="1:33" ht="15.75" customHeight="1">
      <c r="A38" s="183" t="s">
        <v>2485</v>
      </c>
      <c r="B38" s="35" t="s">
        <v>108</v>
      </c>
      <c r="C38" s="174" t="s">
        <v>111</v>
      </c>
      <c r="D38" s="175"/>
      <c r="E38" s="35">
        <v>21.13</v>
      </c>
      <c r="F38" s="4">
        <v>4958</v>
      </c>
      <c r="G38" s="4">
        <f t="shared" si="31"/>
        <v>104762.54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si="32"/>
        <v>2860.3846153846157</v>
      </c>
      <c r="N38" s="17">
        <f t="shared" si="3"/>
        <v>286.03846153846155</v>
      </c>
      <c r="O38" s="18">
        <f t="shared" si="4"/>
        <v>0</v>
      </c>
      <c r="P38" s="19">
        <f t="shared" si="5"/>
        <v>-13.961538461538453</v>
      </c>
      <c r="Q38" s="20">
        <f t="shared" si="6"/>
        <v>0.95346153846153847</v>
      </c>
      <c r="R38" s="186"/>
      <c r="S38" s="27">
        <v>0.15625000000000003</v>
      </c>
      <c r="T38" s="27">
        <v>0.22847222222222224</v>
      </c>
      <c r="U38" s="4">
        <f t="shared" ref="U38:U41" si="34">(S38-T37)*24*60</f>
        <v>28.000000000000021</v>
      </c>
      <c r="V38" s="21">
        <f t="shared" si="33"/>
        <v>103.99999999999999</v>
      </c>
      <c r="W38" s="22"/>
      <c r="X38" s="22"/>
      <c r="Y38" s="25"/>
      <c r="Z38" s="25"/>
      <c r="AA38" s="176"/>
      <c r="AB38" s="177"/>
      <c r="AC38" s="24"/>
      <c r="AD38" s="24"/>
      <c r="AE38" s="18">
        <f t="shared" si="8"/>
        <v>-139.6153846153843</v>
      </c>
      <c r="AF38" s="20">
        <f t="shared" si="9"/>
        <v>0.95346153846153858</v>
      </c>
      <c r="AG38" s="186"/>
    </row>
    <row r="39" spans="1:33" ht="15.75" customHeight="1">
      <c r="A39" s="183" t="s">
        <v>2486</v>
      </c>
      <c r="B39" s="35" t="s">
        <v>108</v>
      </c>
      <c r="C39" s="174" t="s">
        <v>112</v>
      </c>
      <c r="D39" s="175"/>
      <c r="E39" s="35">
        <v>27.17</v>
      </c>
      <c r="F39" s="4">
        <v>6357</v>
      </c>
      <c r="G39" s="4">
        <f t="shared" si="31"/>
        <v>172719.69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2867.819548872179</v>
      </c>
      <c r="N39" s="17">
        <f t="shared" si="3"/>
        <v>286.78195488721792</v>
      </c>
      <c r="O39" s="18">
        <f t="shared" si="4"/>
        <v>0</v>
      </c>
      <c r="P39" s="19">
        <f t="shared" si="5"/>
        <v>-13.218045112782079</v>
      </c>
      <c r="Q39" s="20">
        <f t="shared" si="6"/>
        <v>0.95593984962405976</v>
      </c>
      <c r="R39" s="186"/>
      <c r="S39" s="27">
        <v>0.23402777777777781</v>
      </c>
      <c r="T39" s="27">
        <v>0.32638888888888895</v>
      </c>
      <c r="U39" s="4">
        <f t="shared" si="34"/>
        <v>8.0000000000000107</v>
      </c>
      <c r="V39" s="21">
        <f t="shared" si="33"/>
        <v>133.00000000000006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-132.18045112782102</v>
      </c>
      <c r="AF39" s="20">
        <f t="shared" si="9"/>
        <v>0.95593984962405965</v>
      </c>
      <c r="AG39" s="186"/>
    </row>
    <row r="40" spans="1:33" ht="15.75" customHeight="1">
      <c r="A40" s="183" t="s">
        <v>2487</v>
      </c>
      <c r="B40" s="35" t="s">
        <v>108</v>
      </c>
      <c r="C40" s="174" t="s">
        <v>305</v>
      </c>
      <c r="D40" s="175"/>
      <c r="E40" s="35">
        <v>28.3</v>
      </c>
      <c r="F40" s="4">
        <v>2056</v>
      </c>
      <c r="G40" s="4">
        <f t="shared" si="31"/>
        <v>58184.800000000003</v>
      </c>
      <c r="H40" s="21" t="s">
        <v>133</v>
      </c>
      <c r="I40" s="15">
        <v>8</v>
      </c>
      <c r="J40" s="17">
        <v>3000</v>
      </c>
      <c r="K40" s="16">
        <f t="shared" si="1"/>
        <v>375</v>
      </c>
      <c r="L40" s="15">
        <v>8</v>
      </c>
      <c r="M40" s="17">
        <f t="shared" si="32"/>
        <v>2868.8372093023249</v>
      </c>
      <c r="N40" s="17">
        <f t="shared" si="3"/>
        <v>358.60465116279062</v>
      </c>
      <c r="O40" s="18">
        <f t="shared" si="4"/>
        <v>0</v>
      </c>
      <c r="P40" s="19">
        <f t="shared" si="5"/>
        <v>-16.395348837209383</v>
      </c>
      <c r="Q40" s="20">
        <f t="shared" si="6"/>
        <v>0.95627906976744159</v>
      </c>
      <c r="R40" s="186"/>
      <c r="S40" s="27">
        <v>0.3305555555555556</v>
      </c>
      <c r="T40" s="27">
        <v>0.36041666666666672</v>
      </c>
      <c r="U40" s="4">
        <f t="shared" si="34"/>
        <v>5.9999999999999787</v>
      </c>
      <c r="V40" s="21">
        <f t="shared" si="33"/>
        <v>43.000000000000007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-131.16279069767506</v>
      </c>
      <c r="AF40" s="20">
        <f t="shared" si="9"/>
        <v>0.95627906976744159</v>
      </c>
      <c r="AG40" s="186"/>
    </row>
    <row r="41" spans="1:33" ht="15.75" customHeight="1">
      <c r="A41" s="183" t="s">
        <v>2488</v>
      </c>
      <c r="B41" s="35" t="s">
        <v>108</v>
      </c>
      <c r="C41" s="174" t="s">
        <v>113</v>
      </c>
      <c r="D41" s="175"/>
      <c r="E41" s="35">
        <v>35.869999999999997</v>
      </c>
      <c r="F41" s="4">
        <v>3760</v>
      </c>
      <c r="G41" s="4">
        <f t="shared" si="31"/>
        <v>134871.19999999998</v>
      </c>
      <c r="H41" s="21" t="s">
        <v>133</v>
      </c>
      <c r="I41" s="15">
        <v>9</v>
      </c>
      <c r="J41" s="17">
        <v>3000</v>
      </c>
      <c r="K41" s="16">
        <f t="shared" si="1"/>
        <v>333.33333333333331</v>
      </c>
      <c r="L41" s="15">
        <v>9</v>
      </c>
      <c r="M41" s="17">
        <f t="shared" si="32"/>
        <v>2855.6962025316443</v>
      </c>
      <c r="N41" s="17">
        <f t="shared" si="3"/>
        <v>317.29957805907156</v>
      </c>
      <c r="O41" s="18">
        <f t="shared" si="4"/>
        <v>0</v>
      </c>
      <c r="P41" s="19">
        <f t="shared" si="5"/>
        <v>-16.03375527426175</v>
      </c>
      <c r="Q41" s="20">
        <f t="shared" si="6"/>
        <v>0.95189873417721471</v>
      </c>
      <c r="R41" s="186"/>
      <c r="S41" s="27">
        <v>0.36388888888888893</v>
      </c>
      <c r="T41" s="27">
        <v>0.41875000000000007</v>
      </c>
      <c r="U41" s="4">
        <f t="shared" si="34"/>
        <v>4.9999999999999822</v>
      </c>
      <c r="V41" s="21">
        <f t="shared" si="33"/>
        <v>79.000000000000043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-144.3037974683557</v>
      </c>
      <c r="AF41" s="20">
        <f t="shared" si="9"/>
        <v>0.95189873417721482</v>
      </c>
      <c r="AG41" s="186"/>
    </row>
    <row r="42" spans="1:33" ht="15.75" customHeight="1">
      <c r="A42" s="184" t="s">
        <v>67</v>
      </c>
      <c r="B42" s="35" t="s">
        <v>48</v>
      </c>
      <c r="C42" s="164"/>
      <c r="D42" s="165"/>
      <c r="E42" s="37"/>
      <c r="F42" s="4"/>
      <c r="G42" s="4"/>
      <c r="H42" s="4"/>
      <c r="I42" s="29">
        <v>9</v>
      </c>
      <c r="J42" s="17">
        <v>3000</v>
      </c>
      <c r="K42" s="16">
        <f t="shared" si="1"/>
        <v>333.33333333333331</v>
      </c>
      <c r="L42" s="29">
        <v>9</v>
      </c>
      <c r="M42" s="17">
        <f>AVERAGE(M37:M41)</f>
        <v>2864.8332295038667</v>
      </c>
      <c r="N42" s="16">
        <f t="shared" si="3"/>
        <v>318.31480327820742</v>
      </c>
      <c r="O42" s="18">
        <f t="shared" si="4"/>
        <v>0</v>
      </c>
      <c r="P42" s="19">
        <f t="shared" si="5"/>
        <v>-15.018530055125893</v>
      </c>
      <c r="Q42" s="20">
        <f t="shared" si="6"/>
        <v>0.95494440983462237</v>
      </c>
      <c r="R42" s="187"/>
      <c r="S42" s="27"/>
      <c r="T42" s="27"/>
      <c r="U42" s="4"/>
      <c r="V42" s="21"/>
      <c r="W42" s="22"/>
      <c r="X42" s="22"/>
      <c r="Y42" s="30">
        <f>SUM(Y37:Y41)</f>
        <v>0</v>
      </c>
      <c r="Z42" s="30">
        <f>SUM(Z37:Z41)</f>
        <v>0</v>
      </c>
      <c r="AA42" s="180"/>
      <c r="AB42" s="181"/>
      <c r="AC42" s="30">
        <v>5</v>
      </c>
      <c r="AD42" s="30">
        <f>SUM(AD37:AD41)</f>
        <v>0</v>
      </c>
      <c r="AE42" s="18">
        <f t="shared" si="8"/>
        <v>-135.16677049613327</v>
      </c>
      <c r="AF42" s="20">
        <f t="shared" si="9"/>
        <v>0.95494440983462225</v>
      </c>
      <c r="AG42" s="187"/>
    </row>
    <row r="43" spans="1:33" ht="15.75" customHeight="1">
      <c r="A43" s="178" t="s">
        <v>73</v>
      </c>
      <c r="B43" s="35" t="s">
        <v>84</v>
      </c>
      <c r="C43" s="163" t="s">
        <v>114</v>
      </c>
      <c r="D43" s="163"/>
      <c r="E43" s="35">
        <v>46</v>
      </c>
      <c r="F43" s="38">
        <v>2345</v>
      </c>
      <c r="G43" s="4">
        <f t="shared" ref="G43:G49" si="35">E43*F43</f>
        <v>107870</v>
      </c>
      <c r="H43" s="21" t="s">
        <v>133</v>
      </c>
      <c r="I43" s="15">
        <v>17</v>
      </c>
      <c r="J43" s="17">
        <v>2000</v>
      </c>
      <c r="K43" s="16">
        <f t="shared" si="1"/>
        <v>117.64705882352941</v>
      </c>
      <c r="L43" s="15">
        <v>17</v>
      </c>
      <c r="M43" s="17">
        <f t="shared" ref="M43" si="36">F43/V43*60</f>
        <v>1927.3972602739723</v>
      </c>
      <c r="N43" s="17">
        <f t="shared" si="3"/>
        <v>113.37630942788073</v>
      </c>
      <c r="O43" s="18">
        <f t="shared" si="4"/>
        <v>0</v>
      </c>
      <c r="P43" s="19">
        <f t="shared" si="5"/>
        <v>-4.2707493956486786</v>
      </c>
      <c r="Q43" s="20">
        <f t="shared" si="6"/>
        <v>0.9636986301369862</v>
      </c>
      <c r="R43" s="170">
        <f>Q50</f>
        <v>0.96710738473213187</v>
      </c>
      <c r="S43" s="27">
        <v>0.20833333333333334</v>
      </c>
      <c r="T43" s="27">
        <v>0.2590277777777778</v>
      </c>
      <c r="U43" s="27"/>
      <c r="V43" s="21">
        <f t="shared" ref="V43:V49" si="37">(T43-S43)*24*60</f>
        <v>73.000000000000014</v>
      </c>
      <c r="W43" s="27"/>
      <c r="X43" s="27"/>
      <c r="Y43" s="27"/>
      <c r="Z43" s="27"/>
      <c r="AA43" s="162"/>
      <c r="AB43" s="162"/>
      <c r="AC43" s="24">
        <v>7</v>
      </c>
      <c r="AD43" s="24"/>
      <c r="AE43" s="18">
        <f t="shared" si="8"/>
        <v>-72.602739726027721</v>
      </c>
      <c r="AF43" s="20">
        <f t="shared" si="9"/>
        <v>0.96369863013698609</v>
      </c>
      <c r="AG43" s="170">
        <f>AF50</f>
        <v>0.96710738473213198</v>
      </c>
    </row>
    <row r="44" spans="1:33" ht="15.75" customHeight="1">
      <c r="A44" s="178" t="s">
        <v>2489</v>
      </c>
      <c r="B44" s="35" t="s">
        <v>78</v>
      </c>
      <c r="C44" s="163" t="s">
        <v>115</v>
      </c>
      <c r="D44" s="163"/>
      <c r="E44" s="35">
        <v>56.43</v>
      </c>
      <c r="F44" s="38">
        <v>1550</v>
      </c>
      <c r="G44" s="4">
        <f t="shared" si="35"/>
        <v>87466.5</v>
      </c>
      <c r="H44" s="21" t="s">
        <v>133</v>
      </c>
      <c r="I44" s="15">
        <v>22</v>
      </c>
      <c r="J44" s="17">
        <v>2000</v>
      </c>
      <c r="K44" s="16">
        <f t="shared" si="1"/>
        <v>90.909090909090907</v>
      </c>
      <c r="L44" s="15">
        <v>22</v>
      </c>
      <c r="M44" s="17">
        <f>F44/V44*60</f>
        <v>1937.5000000000007</v>
      </c>
      <c r="N44" s="17">
        <f t="shared" si="3"/>
        <v>88.068181818181856</v>
      </c>
      <c r="O44" s="18">
        <f t="shared" si="4"/>
        <v>0</v>
      </c>
      <c r="P44" s="19">
        <f t="shared" si="5"/>
        <v>-2.8409090909090509</v>
      </c>
      <c r="Q44" s="20">
        <f t="shared" si="6"/>
        <v>0.96875000000000044</v>
      </c>
      <c r="R44" s="170"/>
      <c r="S44" s="27">
        <v>0.26458333333333334</v>
      </c>
      <c r="T44" s="27">
        <v>0.29791666666666666</v>
      </c>
      <c r="U44" s="4">
        <f t="shared" ref="U44:U49" si="38">IF(S44=TIME(17,0,0),"",(S44-T43)*24*60)</f>
        <v>7.9999999999999716</v>
      </c>
      <c r="V44" s="21">
        <f t="shared" si="37"/>
        <v>47.999999999999986</v>
      </c>
      <c r="W44" s="22"/>
      <c r="X44" s="22"/>
      <c r="Y44" s="22"/>
      <c r="Z44" s="22"/>
      <c r="AA44" s="162"/>
      <c r="AB44" s="162"/>
      <c r="AC44" s="24"/>
      <c r="AD44" s="24"/>
      <c r="AE44" s="18">
        <f t="shared" si="8"/>
        <v>-62.499999999999318</v>
      </c>
      <c r="AF44" s="20">
        <f t="shared" si="9"/>
        <v>0.96875000000000033</v>
      </c>
      <c r="AG44" s="170"/>
    </row>
    <row r="45" spans="1:33" ht="15.75" customHeight="1">
      <c r="A45" s="178" t="s">
        <v>73</v>
      </c>
      <c r="B45" s="35" t="s">
        <v>78</v>
      </c>
      <c r="C45" s="174" t="s">
        <v>116</v>
      </c>
      <c r="D45" s="175"/>
      <c r="E45" s="35">
        <v>51.75</v>
      </c>
      <c r="F45" s="38">
        <v>1180</v>
      </c>
      <c r="G45" s="4">
        <f t="shared" si="35"/>
        <v>61065</v>
      </c>
      <c r="H45" s="21" t="s">
        <v>133</v>
      </c>
      <c r="I45" s="15">
        <v>25</v>
      </c>
      <c r="J45" s="17">
        <v>2000</v>
      </c>
      <c r="K45" s="16">
        <f t="shared" si="1"/>
        <v>80</v>
      </c>
      <c r="L45" s="15">
        <v>25</v>
      </c>
      <c r="M45" s="17">
        <f t="shared" ref="M45:M49" si="39">F45/V45*60</f>
        <v>1913.513513513512</v>
      </c>
      <c r="N45" s="17">
        <f t="shared" si="3"/>
        <v>76.540540540540476</v>
      </c>
      <c r="O45" s="18">
        <f t="shared" si="4"/>
        <v>0</v>
      </c>
      <c r="P45" s="19">
        <f t="shared" si="5"/>
        <v>-3.4594594594595236</v>
      </c>
      <c r="Q45" s="20">
        <f t="shared" si="6"/>
        <v>0.95675675675675598</v>
      </c>
      <c r="R45" s="170"/>
      <c r="S45" s="27">
        <v>0.30277777777777776</v>
      </c>
      <c r="T45" s="27">
        <v>0.32847222222222222</v>
      </c>
      <c r="U45" s="4">
        <f t="shared" si="38"/>
        <v>6.9999999999999751</v>
      </c>
      <c r="V45" s="21">
        <f t="shared" si="37"/>
        <v>37.000000000000028</v>
      </c>
      <c r="W45" s="22"/>
      <c r="X45" s="22"/>
      <c r="Y45" s="25"/>
      <c r="Z45" s="25"/>
      <c r="AA45" s="162"/>
      <c r="AB45" s="162"/>
      <c r="AC45" s="24"/>
      <c r="AD45" s="24"/>
      <c r="AE45" s="18">
        <f t="shared" si="8"/>
        <v>-86.486486486488047</v>
      </c>
      <c r="AF45" s="20">
        <f t="shared" si="9"/>
        <v>0.95675675675675598</v>
      </c>
      <c r="AG45" s="170"/>
    </row>
    <row r="46" spans="1:33" ht="15.75" customHeight="1">
      <c r="A46" s="178" t="s">
        <v>73</v>
      </c>
      <c r="B46" s="35" t="s">
        <v>78</v>
      </c>
      <c r="C46" s="39" t="s">
        <v>118</v>
      </c>
      <c r="D46" s="40"/>
      <c r="E46" s="35">
        <v>57.73</v>
      </c>
      <c r="F46" s="38">
        <v>951</v>
      </c>
      <c r="G46" s="4">
        <f t="shared" si="35"/>
        <v>54901.229999999996</v>
      </c>
      <c r="H46" s="21" t="s">
        <v>133</v>
      </c>
      <c r="I46" s="15">
        <v>16</v>
      </c>
      <c r="J46" s="17">
        <v>1500</v>
      </c>
      <c r="K46" s="16">
        <f t="shared" si="1"/>
        <v>93.75</v>
      </c>
      <c r="L46" s="15">
        <v>16</v>
      </c>
      <c r="M46" s="17">
        <f t="shared" si="39"/>
        <v>1463.0769230769224</v>
      </c>
      <c r="N46" s="17">
        <f t="shared" si="3"/>
        <v>91.442307692307651</v>
      </c>
      <c r="O46" s="18">
        <f t="shared" si="4"/>
        <v>0</v>
      </c>
      <c r="P46" s="19">
        <f t="shared" si="5"/>
        <v>-2.3076923076923492</v>
      </c>
      <c r="Q46" s="20">
        <f t="shared" si="6"/>
        <v>0.97538461538461496</v>
      </c>
      <c r="R46" s="170"/>
      <c r="S46" s="27">
        <v>0.70833333333333337</v>
      </c>
      <c r="T46" s="27">
        <v>0.73541666666666672</v>
      </c>
      <c r="U46" s="4" t="str">
        <f t="shared" si="38"/>
        <v/>
      </c>
      <c r="V46" s="21">
        <f t="shared" si="37"/>
        <v>39.000000000000021</v>
      </c>
      <c r="W46" s="22"/>
      <c r="X46" s="22"/>
      <c r="Y46" s="25"/>
      <c r="Z46" s="25"/>
      <c r="AA46" s="162"/>
      <c r="AB46" s="162"/>
      <c r="AC46" s="24"/>
      <c r="AD46" s="24"/>
      <c r="AE46" s="18">
        <f t="shared" si="8"/>
        <v>-36.923076923077588</v>
      </c>
      <c r="AF46" s="20">
        <f t="shared" si="9"/>
        <v>0.97538461538461496</v>
      </c>
      <c r="AG46" s="170"/>
    </row>
    <row r="47" spans="1:33" ht="15.75" customHeight="1">
      <c r="A47" s="178" t="s">
        <v>2490</v>
      </c>
      <c r="B47" s="35" t="s">
        <v>78</v>
      </c>
      <c r="C47" s="39" t="s">
        <v>119</v>
      </c>
      <c r="D47" s="40"/>
      <c r="E47" s="35">
        <v>54.29</v>
      </c>
      <c r="F47" s="38">
        <v>1076</v>
      </c>
      <c r="G47" s="4">
        <f t="shared" si="35"/>
        <v>58416.04</v>
      </c>
      <c r="H47" s="21" t="s">
        <v>133</v>
      </c>
      <c r="I47" s="15">
        <v>20</v>
      </c>
      <c r="J47" s="17">
        <v>2000</v>
      </c>
      <c r="K47" s="16">
        <f t="shared" si="1"/>
        <v>100</v>
      </c>
      <c r="L47" s="15">
        <v>20</v>
      </c>
      <c r="M47" s="17">
        <f t="shared" si="39"/>
        <v>1956.363636363634</v>
      </c>
      <c r="N47" s="17">
        <f t="shared" si="3"/>
        <v>97.818181818181699</v>
      </c>
      <c r="O47" s="18">
        <f t="shared" si="4"/>
        <v>0</v>
      </c>
      <c r="P47" s="19">
        <f t="shared" si="5"/>
        <v>-2.1818181818183007</v>
      </c>
      <c r="Q47" s="20">
        <f t="shared" si="6"/>
        <v>0.97818181818181704</v>
      </c>
      <c r="R47" s="170"/>
      <c r="S47" s="27">
        <v>0.74027777777777781</v>
      </c>
      <c r="T47" s="27">
        <v>0.76319444444444451</v>
      </c>
      <c r="U47" s="4">
        <f t="shared" si="38"/>
        <v>6.9999999999999751</v>
      </c>
      <c r="V47" s="21">
        <f t="shared" si="37"/>
        <v>33.000000000000043</v>
      </c>
      <c r="W47" s="22"/>
      <c r="X47" s="22"/>
      <c r="Y47" s="25"/>
      <c r="Z47" s="25"/>
      <c r="AA47" s="162"/>
      <c r="AB47" s="162"/>
      <c r="AC47" s="24"/>
      <c r="AD47" s="24"/>
      <c r="AE47" s="18">
        <f t="shared" si="8"/>
        <v>-43.636363636366013</v>
      </c>
      <c r="AF47" s="20">
        <f t="shared" si="9"/>
        <v>0.97818181818181704</v>
      </c>
      <c r="AG47" s="170"/>
    </row>
    <row r="48" spans="1:33" ht="15.75" customHeight="1">
      <c r="A48" s="178" t="s">
        <v>2491</v>
      </c>
      <c r="B48" s="35" t="s">
        <v>78</v>
      </c>
      <c r="C48" s="174" t="s">
        <v>120</v>
      </c>
      <c r="D48" s="175"/>
      <c r="E48" s="35">
        <v>55.56</v>
      </c>
      <c r="F48" s="38">
        <v>1946</v>
      </c>
      <c r="G48" s="4">
        <f t="shared" si="35"/>
        <v>108119.76000000001</v>
      </c>
      <c r="H48" s="21" t="s">
        <v>133</v>
      </c>
      <c r="I48" s="15">
        <v>17</v>
      </c>
      <c r="J48" s="17">
        <v>2000</v>
      </c>
      <c r="K48" s="16">
        <f t="shared" si="1"/>
        <v>117.64705882352941</v>
      </c>
      <c r="L48" s="15">
        <v>17</v>
      </c>
      <c r="M48" s="17">
        <f t="shared" si="39"/>
        <v>1914.0983606557395</v>
      </c>
      <c r="N48" s="17">
        <f t="shared" si="3"/>
        <v>112.5940212150435</v>
      </c>
      <c r="O48" s="18">
        <f t="shared" si="4"/>
        <v>0</v>
      </c>
      <c r="P48" s="19">
        <f t="shared" si="5"/>
        <v>-5.0530376084859085</v>
      </c>
      <c r="Q48" s="20">
        <f t="shared" si="6"/>
        <v>0.95704918032786979</v>
      </c>
      <c r="R48" s="170"/>
      <c r="S48" s="27">
        <v>0.76875000000000004</v>
      </c>
      <c r="T48" s="27">
        <v>0.81111111111111112</v>
      </c>
      <c r="U48" s="4">
        <f t="shared" si="38"/>
        <v>7.9999999999999716</v>
      </c>
      <c r="V48" s="21">
        <f t="shared" si="37"/>
        <v>60.999999999999943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-85.901639344260502</v>
      </c>
      <c r="AF48" s="20">
        <f t="shared" si="9"/>
        <v>0.95704918032786979</v>
      </c>
      <c r="AG48" s="170"/>
    </row>
    <row r="49" spans="1:33" ht="15.75" customHeight="1">
      <c r="A49" s="178" t="s">
        <v>73</v>
      </c>
      <c r="B49" s="35" t="s">
        <v>78</v>
      </c>
      <c r="C49" s="174" t="s">
        <v>121</v>
      </c>
      <c r="D49" s="175"/>
      <c r="E49" s="35">
        <v>55.32</v>
      </c>
      <c r="F49" s="38">
        <v>1296</v>
      </c>
      <c r="G49" s="4">
        <f t="shared" si="35"/>
        <v>71694.720000000001</v>
      </c>
      <c r="H49" s="21" t="s">
        <v>133</v>
      </c>
      <c r="I49" s="15">
        <v>15</v>
      </c>
      <c r="J49" s="17">
        <v>2000</v>
      </c>
      <c r="K49" s="16">
        <f t="shared" si="1"/>
        <v>133.33333333333334</v>
      </c>
      <c r="L49" s="15">
        <v>15</v>
      </c>
      <c r="M49" s="17">
        <f t="shared" si="39"/>
        <v>1943.9999999999995</v>
      </c>
      <c r="N49" s="17">
        <f t="shared" si="3"/>
        <v>129.59999999999997</v>
      </c>
      <c r="O49" s="18">
        <f t="shared" si="4"/>
        <v>0</v>
      </c>
      <c r="P49" s="19">
        <f t="shared" si="5"/>
        <v>-3.7333333333333769</v>
      </c>
      <c r="Q49" s="20">
        <f t="shared" si="6"/>
        <v>0.97199999999999964</v>
      </c>
      <c r="R49" s="170"/>
      <c r="S49" s="27">
        <v>0.81527777777777777</v>
      </c>
      <c r="T49" s="27">
        <v>0.84305555555555556</v>
      </c>
      <c r="U49" s="4">
        <f t="shared" si="38"/>
        <v>5.9999999999999787</v>
      </c>
      <c r="V49" s="21">
        <f t="shared" si="37"/>
        <v>40.000000000000014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-56.000000000000455</v>
      </c>
      <c r="AF49" s="20">
        <f t="shared" si="9"/>
        <v>0.97199999999999975</v>
      </c>
      <c r="AG49" s="170"/>
    </row>
    <row r="50" spans="1:33">
      <c r="A50" s="179" t="s">
        <v>73</v>
      </c>
      <c r="B50" s="35" t="s">
        <v>2492</v>
      </c>
      <c r="C50" s="171"/>
      <c r="D50" s="171"/>
      <c r="E50" s="36"/>
      <c r="F50" s="16"/>
      <c r="G50" s="16"/>
      <c r="H50" s="4"/>
      <c r="I50" s="29">
        <v>18.857142857142858</v>
      </c>
      <c r="J50" s="17">
        <v>1928.5714285714287</v>
      </c>
      <c r="K50" s="16">
        <f t="shared" si="1"/>
        <v>102.27272727272728</v>
      </c>
      <c r="L50" s="29">
        <v>18.857142857142858</v>
      </c>
      <c r="M50" s="17">
        <f>AVERAGE(M43:M49)</f>
        <v>1865.135670554826</v>
      </c>
      <c r="N50" s="16">
        <f t="shared" si="3"/>
        <v>98.908709802149858</v>
      </c>
      <c r="O50" s="18">
        <f t="shared" si="4"/>
        <v>0</v>
      </c>
      <c r="P50" s="19">
        <f t="shared" si="5"/>
        <v>-3.3640174705774228</v>
      </c>
      <c r="Q50" s="20">
        <f t="shared" si="6"/>
        <v>0.96710738473213187</v>
      </c>
      <c r="R50" s="170"/>
      <c r="S50" s="27"/>
      <c r="T50" s="27"/>
      <c r="U50" s="4"/>
      <c r="V50" s="21"/>
      <c r="W50" s="16"/>
      <c r="X50" s="16"/>
      <c r="Y50" s="30">
        <f>SUM(Y43:Y49)</f>
        <v>0</v>
      </c>
      <c r="Z50" s="30">
        <f>SUM(Z43:Z49)</f>
        <v>0</v>
      </c>
      <c r="AA50" s="166"/>
      <c r="AB50" s="166"/>
      <c r="AC50" s="30">
        <v>7</v>
      </c>
      <c r="AD50" s="30">
        <f>SUM(AD43:AD49)</f>
        <v>0</v>
      </c>
      <c r="AE50" s="18">
        <f>M50-J50</f>
        <v>-63.435758016602676</v>
      </c>
      <c r="AF50" s="20">
        <f t="shared" si="9"/>
        <v>0.96710738473213198</v>
      </c>
      <c r="AG50" s="170"/>
    </row>
    <row r="51" spans="1:33" ht="15.75" customHeight="1">
      <c r="A51" s="172" t="s">
        <v>2493</v>
      </c>
      <c r="B51" s="4" t="s">
        <v>108</v>
      </c>
      <c r="C51" s="163" t="s">
        <v>125</v>
      </c>
      <c r="D51" s="163"/>
      <c r="E51" s="35">
        <v>37.85</v>
      </c>
      <c r="F51" s="38">
        <v>1423</v>
      </c>
      <c r="G51" s="4">
        <f t="shared" ref="G51:G55" si="40">E51*F51</f>
        <v>53860.55</v>
      </c>
      <c r="H51" s="21" t="s">
        <v>133</v>
      </c>
      <c r="I51" s="15">
        <v>12</v>
      </c>
      <c r="J51" s="17">
        <v>2000</v>
      </c>
      <c r="K51" s="16">
        <f t="shared" si="1"/>
        <v>166.66666666666666</v>
      </c>
      <c r="L51" s="15">
        <v>12</v>
      </c>
      <c r="M51" s="17">
        <f t="shared" ref="M51:M55" si="41">F51/V51*60</f>
        <v>1940.4545454545455</v>
      </c>
      <c r="N51" s="16">
        <f t="shared" si="3"/>
        <v>161.70454545454547</v>
      </c>
      <c r="O51" s="18">
        <f t="shared" si="4"/>
        <v>0</v>
      </c>
      <c r="P51" s="19">
        <f t="shared" si="5"/>
        <v>-4.9621212121211897</v>
      </c>
      <c r="Q51" s="20">
        <f t="shared" si="6"/>
        <v>0.97022727272727283</v>
      </c>
      <c r="R51" s="170">
        <f>Q56</f>
        <v>0.95973588665593923</v>
      </c>
      <c r="S51" s="27">
        <v>0.20833333333333334</v>
      </c>
      <c r="T51" s="27">
        <v>0.2388888888888889</v>
      </c>
      <c r="U51" s="4"/>
      <c r="V51" s="21">
        <f t="shared" ref="V51:V55" si="42">(T51-S51)*24*60</f>
        <v>44</v>
      </c>
      <c r="W51" s="27"/>
      <c r="X51" s="27"/>
      <c r="Y51" s="27"/>
      <c r="Z51" s="27"/>
      <c r="AA51" s="162"/>
      <c r="AB51" s="162"/>
      <c r="AC51" s="24">
        <v>5</v>
      </c>
      <c r="AD51" s="24"/>
      <c r="AE51" s="18">
        <f t="shared" ref="AE51:AE62" si="43">M51-J51</f>
        <v>-59.545454545454504</v>
      </c>
      <c r="AF51" s="20">
        <f t="shared" si="9"/>
        <v>0.97022727272727272</v>
      </c>
      <c r="AG51" s="170">
        <f>AF56</f>
        <v>0.95973588665593912</v>
      </c>
    </row>
    <row r="52" spans="1:33" ht="15.75" customHeight="1">
      <c r="A52" s="172" t="s">
        <v>297</v>
      </c>
      <c r="B52" s="4" t="s">
        <v>108</v>
      </c>
      <c r="C52" s="163" t="s">
        <v>126</v>
      </c>
      <c r="D52" s="163"/>
      <c r="E52" s="35">
        <v>34.36</v>
      </c>
      <c r="F52" s="38">
        <v>2028</v>
      </c>
      <c r="G52" s="4">
        <f t="shared" si="40"/>
        <v>69682.080000000002</v>
      </c>
      <c r="H52" s="21" t="s">
        <v>133</v>
      </c>
      <c r="I52" s="15">
        <v>10</v>
      </c>
      <c r="J52" s="17">
        <v>3000</v>
      </c>
      <c r="K52" s="16">
        <f t="shared" si="1"/>
        <v>300</v>
      </c>
      <c r="L52" s="15">
        <v>10</v>
      </c>
      <c r="M52" s="17">
        <f t="shared" si="41"/>
        <v>2897.1428571428592</v>
      </c>
      <c r="N52" s="16">
        <f t="shared" si="3"/>
        <v>289.71428571428589</v>
      </c>
      <c r="O52" s="18">
        <f t="shared" si="4"/>
        <v>0</v>
      </c>
      <c r="P52" s="19">
        <f t="shared" si="5"/>
        <v>-10.285714285714107</v>
      </c>
      <c r="Q52" s="20">
        <f t="shared" si="6"/>
        <v>0.9657142857142863</v>
      </c>
      <c r="R52" s="170"/>
      <c r="S52" s="27">
        <v>0.24236111111111111</v>
      </c>
      <c r="T52" s="27">
        <v>0.27152777777777776</v>
      </c>
      <c r="U52" s="4">
        <f t="shared" ref="U52:U55" si="44">(S52-T51)*24*60</f>
        <v>4.9999999999999822</v>
      </c>
      <c r="V52" s="21">
        <f t="shared" si="42"/>
        <v>41.999999999999972</v>
      </c>
      <c r="W52" s="4"/>
      <c r="X52" s="4"/>
      <c r="Y52" s="4"/>
      <c r="Z52" s="4"/>
      <c r="AA52" s="162"/>
      <c r="AB52" s="162"/>
      <c r="AC52" s="24"/>
      <c r="AD52" s="24"/>
      <c r="AE52" s="18">
        <f t="shared" si="43"/>
        <v>-102.85714285714084</v>
      </c>
      <c r="AF52" s="20">
        <f t="shared" si="9"/>
        <v>0.96571428571428641</v>
      </c>
      <c r="AG52" s="170"/>
    </row>
    <row r="53" spans="1:33" ht="15.75" customHeight="1">
      <c r="A53" s="172" t="s">
        <v>2493</v>
      </c>
      <c r="B53" s="4" t="s">
        <v>108</v>
      </c>
      <c r="C53" s="163" t="s">
        <v>127</v>
      </c>
      <c r="D53" s="163"/>
      <c r="E53" s="35">
        <v>35.119999999999997</v>
      </c>
      <c r="F53" s="38">
        <v>5201</v>
      </c>
      <c r="G53" s="4">
        <f t="shared" si="40"/>
        <v>182659.12</v>
      </c>
      <c r="H53" s="21" t="s">
        <v>133</v>
      </c>
      <c r="I53" s="15">
        <v>10</v>
      </c>
      <c r="J53" s="17">
        <v>3000</v>
      </c>
      <c r="K53" s="16">
        <f t="shared" si="1"/>
        <v>300</v>
      </c>
      <c r="L53" s="15">
        <v>10</v>
      </c>
      <c r="M53" s="17">
        <f t="shared" si="41"/>
        <v>2862.9357798165133</v>
      </c>
      <c r="N53" s="16">
        <f t="shared" si="3"/>
        <v>286.29357798165131</v>
      </c>
      <c r="O53" s="18">
        <f t="shared" si="4"/>
        <v>0</v>
      </c>
      <c r="P53" s="19">
        <f t="shared" si="5"/>
        <v>-13.70642201834869</v>
      </c>
      <c r="Q53" s="20">
        <f t="shared" si="6"/>
        <v>0.95431192660550435</v>
      </c>
      <c r="R53" s="170"/>
      <c r="S53" s="27">
        <v>0.27708333333333329</v>
      </c>
      <c r="T53" s="27">
        <v>0.35277777777777775</v>
      </c>
      <c r="U53" s="4">
        <f t="shared" si="44"/>
        <v>7.9999999999999716</v>
      </c>
      <c r="V53" s="21">
        <f t="shared" si="42"/>
        <v>109.00000000000001</v>
      </c>
      <c r="W53" s="4"/>
      <c r="X53" s="4"/>
      <c r="Y53" s="4"/>
      <c r="Z53" s="4"/>
      <c r="AA53" s="162"/>
      <c r="AB53" s="162"/>
      <c r="AC53" s="24"/>
      <c r="AD53" s="24"/>
      <c r="AE53" s="18">
        <f t="shared" si="43"/>
        <v>-137.06422018348667</v>
      </c>
      <c r="AF53" s="20">
        <f t="shared" si="9"/>
        <v>0.95431192660550446</v>
      </c>
      <c r="AG53" s="170"/>
    </row>
    <row r="54" spans="1:33" ht="15.75" customHeight="1">
      <c r="A54" s="172" t="s">
        <v>297</v>
      </c>
      <c r="B54" s="4" t="s">
        <v>108</v>
      </c>
      <c r="C54" s="163" t="s">
        <v>109</v>
      </c>
      <c r="D54" s="163"/>
      <c r="E54" s="35">
        <v>34.36</v>
      </c>
      <c r="F54" s="38">
        <v>1719</v>
      </c>
      <c r="G54" s="4">
        <f t="shared" si="40"/>
        <v>59064.84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41"/>
        <v>2864.9999999999977</v>
      </c>
      <c r="N54" s="16">
        <f t="shared" si="3"/>
        <v>286.49999999999977</v>
      </c>
      <c r="O54" s="18">
        <f t="shared" si="4"/>
        <v>0</v>
      </c>
      <c r="P54" s="19">
        <f t="shared" si="5"/>
        <v>-13.500000000000227</v>
      </c>
      <c r="Q54" s="20">
        <f t="shared" si="6"/>
        <v>0.95499999999999929</v>
      </c>
      <c r="R54" s="170"/>
      <c r="S54" s="27">
        <v>0.35833333333333328</v>
      </c>
      <c r="T54" s="27">
        <v>0.3833333333333333</v>
      </c>
      <c r="U54" s="4">
        <f t="shared" si="44"/>
        <v>7.9999999999999716</v>
      </c>
      <c r="V54" s="21">
        <f t="shared" si="42"/>
        <v>36.000000000000028</v>
      </c>
      <c r="W54" s="4"/>
      <c r="X54" s="4"/>
      <c r="Y54" s="4"/>
      <c r="Z54" s="4"/>
      <c r="AA54" s="162"/>
      <c r="AB54" s="162"/>
      <c r="AC54" s="24"/>
      <c r="AD54" s="24"/>
      <c r="AE54" s="18">
        <f t="shared" si="43"/>
        <v>-135.00000000000227</v>
      </c>
      <c r="AF54" s="20">
        <f t="shared" si="9"/>
        <v>0.95499999999999929</v>
      </c>
      <c r="AG54" s="170"/>
    </row>
    <row r="55" spans="1:33">
      <c r="A55" s="173" t="s">
        <v>2493</v>
      </c>
      <c r="B55" s="4" t="s">
        <v>108</v>
      </c>
      <c r="C55" s="163" t="s">
        <v>110</v>
      </c>
      <c r="D55" s="163"/>
      <c r="E55" s="35">
        <v>26.78</v>
      </c>
      <c r="F55" s="38">
        <v>2488</v>
      </c>
      <c r="G55" s="4">
        <f t="shared" si="40"/>
        <v>66628.639999999999</v>
      </c>
      <c r="H55" s="21" t="s">
        <v>133</v>
      </c>
      <c r="I55" s="15">
        <v>10</v>
      </c>
      <c r="J55" s="17">
        <v>3000</v>
      </c>
      <c r="K55" s="16">
        <f t="shared" si="1"/>
        <v>300</v>
      </c>
      <c r="L55" s="15">
        <v>10</v>
      </c>
      <c r="M55" s="17">
        <f t="shared" si="41"/>
        <v>2870.7692307692323</v>
      </c>
      <c r="N55" s="16">
        <f t="shared" si="3"/>
        <v>287.07692307692321</v>
      </c>
      <c r="O55" s="18">
        <f t="shared" si="4"/>
        <v>0</v>
      </c>
      <c r="P55" s="19">
        <f t="shared" si="5"/>
        <v>-12.923076923076792</v>
      </c>
      <c r="Q55" s="20">
        <f t="shared" si="6"/>
        <v>0.95692307692307732</v>
      </c>
      <c r="R55" s="170"/>
      <c r="S55" s="27">
        <v>0.38749999999999996</v>
      </c>
      <c r="T55" s="27">
        <v>0.42361111111111105</v>
      </c>
      <c r="U55" s="4">
        <f t="shared" si="44"/>
        <v>5.9999999999999787</v>
      </c>
      <c r="V55" s="21">
        <f t="shared" si="42"/>
        <v>51.999999999999972</v>
      </c>
      <c r="W55" s="22"/>
      <c r="X55" s="22"/>
      <c r="Y55" s="22"/>
      <c r="Z55" s="22"/>
      <c r="AA55" s="162"/>
      <c r="AB55" s="162"/>
      <c r="AC55" s="24"/>
      <c r="AD55" s="24"/>
      <c r="AE55" s="18">
        <f t="shared" si="43"/>
        <v>-129.23076923076769</v>
      </c>
      <c r="AF55" s="20">
        <f t="shared" si="9"/>
        <v>0.95692307692307743</v>
      </c>
      <c r="AG55" s="170"/>
    </row>
    <row r="56" spans="1:33">
      <c r="A56" s="173" t="s">
        <v>2493</v>
      </c>
      <c r="B56" s="35" t="s">
        <v>48</v>
      </c>
      <c r="C56" s="171"/>
      <c r="D56" s="171"/>
      <c r="E56" s="36"/>
      <c r="F56" s="16"/>
      <c r="G56" s="16"/>
      <c r="H56" s="4"/>
      <c r="I56" s="29">
        <v>10.4</v>
      </c>
      <c r="J56" s="17">
        <v>2800</v>
      </c>
      <c r="K56" s="16">
        <f t="shared" si="1"/>
        <v>269.23076923076923</v>
      </c>
      <c r="L56" s="29">
        <v>10.4</v>
      </c>
      <c r="M56" s="17">
        <f>AVERAGE(M51:M55)</f>
        <v>2687.2604826366296</v>
      </c>
      <c r="N56" s="16">
        <f t="shared" si="3"/>
        <v>258.39043102275286</v>
      </c>
      <c r="O56" s="18">
        <f t="shared" si="4"/>
        <v>0</v>
      </c>
      <c r="P56" s="19">
        <f t="shared" si="5"/>
        <v>-10.840338208016362</v>
      </c>
      <c r="Q56" s="20">
        <f t="shared" si="6"/>
        <v>0.95973588665593923</v>
      </c>
      <c r="R56" s="170"/>
      <c r="S56" s="27"/>
      <c r="T56" s="27"/>
      <c r="U56" s="16"/>
      <c r="V56" s="21"/>
      <c r="W56" s="16"/>
      <c r="X56" s="16"/>
      <c r="Y56" s="30">
        <f>SUM(Y51:Y55)</f>
        <v>0</v>
      </c>
      <c r="Z56" s="30">
        <f>SUM(Z51:Z55)</f>
        <v>0</v>
      </c>
      <c r="AA56" s="166"/>
      <c r="AB56" s="166"/>
      <c r="AC56" s="30">
        <v>5</v>
      </c>
      <c r="AD56" s="30">
        <f>SUM(AD51:AD55)</f>
        <v>0</v>
      </c>
      <c r="AE56" s="18">
        <f t="shared" si="43"/>
        <v>-112.7395173633704</v>
      </c>
      <c r="AF56" s="20">
        <f t="shared" si="9"/>
        <v>0.95973588665593912</v>
      </c>
      <c r="AG56" s="170"/>
    </row>
    <row r="57" spans="1:33" ht="15.75" customHeight="1">
      <c r="A57" s="167" t="s">
        <v>2494</v>
      </c>
      <c r="B57" s="4" t="s">
        <v>97</v>
      </c>
      <c r="C57" s="163" t="s">
        <v>128</v>
      </c>
      <c r="D57" s="163"/>
      <c r="E57" s="35">
        <v>20.2</v>
      </c>
      <c r="F57" s="4">
        <v>1635</v>
      </c>
      <c r="G57" s="4">
        <f t="shared" ref="G57:G61" si="45">E57*F57</f>
        <v>33027</v>
      </c>
      <c r="H57" s="21" t="s">
        <v>133</v>
      </c>
      <c r="I57" s="15">
        <v>15</v>
      </c>
      <c r="J57" s="17">
        <v>2400</v>
      </c>
      <c r="K57" s="16">
        <f t="shared" si="1"/>
        <v>160</v>
      </c>
      <c r="L57" s="15">
        <v>15</v>
      </c>
      <c r="M57" s="17">
        <f t="shared" ref="M57:M61" si="46">F57/V57*60</f>
        <v>2335.7142857142862</v>
      </c>
      <c r="N57" s="16">
        <f t="shared" si="3"/>
        <v>155.71428571428575</v>
      </c>
      <c r="O57" s="18">
        <f t="shared" si="4"/>
        <v>0</v>
      </c>
      <c r="P57" s="19">
        <f t="shared" si="5"/>
        <v>-4.2857142857142492</v>
      </c>
      <c r="Q57" s="20">
        <f t="shared" si="6"/>
        <v>0.97321428571428592</v>
      </c>
      <c r="R57" s="170">
        <f>Q62</f>
        <v>0.95752443609022564</v>
      </c>
      <c r="S57" s="27">
        <v>8.3333333333333329E-2</v>
      </c>
      <c r="T57" s="27">
        <v>0.11249999999999999</v>
      </c>
      <c r="U57" s="27"/>
      <c r="V57" s="21">
        <f t="shared" ref="V57:V61" si="47">(T57-S57)*24*60</f>
        <v>41.999999999999993</v>
      </c>
      <c r="W57" s="22">
        <f>T57</f>
        <v>0.11249999999999999</v>
      </c>
      <c r="X57" s="22">
        <f>S58</f>
        <v>0.12986111111111109</v>
      </c>
      <c r="Y57" s="22"/>
      <c r="Z57" s="22"/>
      <c r="AA57" s="162"/>
      <c r="AB57" s="162"/>
      <c r="AC57" s="24">
        <v>5</v>
      </c>
      <c r="AD57" s="24"/>
      <c r="AE57" s="18">
        <f t="shared" si="43"/>
        <v>-64.285714285713766</v>
      </c>
      <c r="AF57" s="20">
        <f t="shared" si="9"/>
        <v>0.97321428571428592</v>
      </c>
      <c r="AG57" s="170">
        <f>AF62</f>
        <v>0.95752443609022564</v>
      </c>
    </row>
    <row r="58" spans="1:33" ht="15.75" customHeight="1">
      <c r="A58" s="168" t="s">
        <v>75</v>
      </c>
      <c r="B58" s="4" t="s">
        <v>97</v>
      </c>
      <c r="C58" s="163" t="s">
        <v>129</v>
      </c>
      <c r="D58" s="163"/>
      <c r="E58" s="35">
        <v>24.45</v>
      </c>
      <c r="F58" s="4">
        <v>2142</v>
      </c>
      <c r="G58" s="4">
        <f t="shared" si="45"/>
        <v>52371.9</v>
      </c>
      <c r="H58" s="21" t="s">
        <v>133</v>
      </c>
      <c r="I58" s="15">
        <v>19</v>
      </c>
      <c r="J58" s="17">
        <v>2400</v>
      </c>
      <c r="K58" s="16">
        <f t="shared" si="1"/>
        <v>126.31578947368421</v>
      </c>
      <c r="L58" s="15">
        <v>19</v>
      </c>
      <c r="M58" s="17">
        <f t="shared" si="46"/>
        <v>2295</v>
      </c>
      <c r="N58" s="16">
        <f t="shared" si="3"/>
        <v>120.78947368421052</v>
      </c>
      <c r="O58" s="18">
        <f t="shared" si="4"/>
        <v>0</v>
      </c>
      <c r="P58" s="19">
        <f t="shared" si="5"/>
        <v>-5.526315789473685</v>
      </c>
      <c r="Q58" s="20">
        <f t="shared" si="6"/>
        <v>0.95625000000000004</v>
      </c>
      <c r="R58" s="170"/>
      <c r="S58" s="27">
        <v>0.12986111111111109</v>
      </c>
      <c r="T58" s="27">
        <v>0.16874999999999998</v>
      </c>
      <c r="U58" s="4">
        <f t="shared" ref="U58:U61" si="48">(S58-T57)*24*60</f>
        <v>24.999999999999993</v>
      </c>
      <c r="V58" s="21">
        <f t="shared" si="47"/>
        <v>56</v>
      </c>
      <c r="W58" s="22"/>
      <c r="X58" s="22"/>
      <c r="Y58" s="22"/>
      <c r="Z58" s="22"/>
      <c r="AA58" s="162"/>
      <c r="AB58" s="162"/>
      <c r="AC58" s="24"/>
      <c r="AD58" s="24"/>
      <c r="AE58" s="18">
        <f t="shared" si="43"/>
        <v>-105</v>
      </c>
      <c r="AF58" s="20">
        <f t="shared" si="9"/>
        <v>0.95625000000000004</v>
      </c>
      <c r="AG58" s="170"/>
    </row>
    <row r="59" spans="1:33" ht="15.75" customHeight="1">
      <c r="A59" s="168" t="s">
        <v>75</v>
      </c>
      <c r="B59" s="4" t="s">
        <v>97</v>
      </c>
      <c r="C59" s="163" t="s">
        <v>106</v>
      </c>
      <c r="D59" s="163"/>
      <c r="E59" s="35">
        <v>20.21</v>
      </c>
      <c r="F59" s="4">
        <v>2171</v>
      </c>
      <c r="G59" s="4">
        <f t="shared" si="45"/>
        <v>43875.91</v>
      </c>
      <c r="H59" s="21" t="s">
        <v>133</v>
      </c>
      <c r="I59" s="15">
        <v>15</v>
      </c>
      <c r="J59" s="17">
        <v>2400</v>
      </c>
      <c r="K59" s="16">
        <f t="shared" si="1"/>
        <v>160</v>
      </c>
      <c r="L59" s="15">
        <v>15</v>
      </c>
      <c r="M59" s="17">
        <f t="shared" si="46"/>
        <v>2285.2631578947371</v>
      </c>
      <c r="N59" s="16">
        <f t="shared" si="3"/>
        <v>152.35087719298247</v>
      </c>
      <c r="O59" s="18">
        <f t="shared" si="4"/>
        <v>0</v>
      </c>
      <c r="P59" s="19">
        <f t="shared" si="5"/>
        <v>-7.6491228070175339</v>
      </c>
      <c r="Q59" s="20">
        <f t="shared" si="6"/>
        <v>0.95219298245614037</v>
      </c>
      <c r="R59" s="170"/>
      <c r="S59" s="27">
        <v>0.17430555555555555</v>
      </c>
      <c r="T59" s="27">
        <v>0.21388888888888888</v>
      </c>
      <c r="U59" s="4">
        <f t="shared" si="48"/>
        <v>8.0000000000000107</v>
      </c>
      <c r="V59" s="21">
        <f t="shared" si="47"/>
        <v>57</v>
      </c>
      <c r="W59" s="22"/>
      <c r="X59" s="22"/>
      <c r="Y59" s="22"/>
      <c r="Z59" s="22"/>
      <c r="AA59" s="162"/>
      <c r="AB59" s="162"/>
      <c r="AC59" s="24"/>
      <c r="AD59" s="24"/>
      <c r="AE59" s="18">
        <f t="shared" si="43"/>
        <v>-114.73684210526289</v>
      </c>
      <c r="AF59" s="20">
        <f t="shared" si="9"/>
        <v>0.95219298245614048</v>
      </c>
      <c r="AG59" s="170"/>
    </row>
    <row r="60" spans="1:33" ht="15.75" customHeight="1">
      <c r="A60" s="168" t="s">
        <v>75</v>
      </c>
      <c r="B60" s="4" t="s">
        <v>97</v>
      </c>
      <c r="C60" s="163" t="s">
        <v>130</v>
      </c>
      <c r="D60" s="163"/>
      <c r="E60" s="35">
        <v>24.43</v>
      </c>
      <c r="F60" s="4">
        <v>5792</v>
      </c>
      <c r="G60" s="4">
        <f t="shared" si="45"/>
        <v>141498.56</v>
      </c>
      <c r="H60" s="21" t="s">
        <v>133</v>
      </c>
      <c r="I60" s="15">
        <v>14</v>
      </c>
      <c r="J60" s="17">
        <v>2400</v>
      </c>
      <c r="K60" s="16">
        <f t="shared" si="1"/>
        <v>171.42857142857142</v>
      </c>
      <c r="L60" s="15">
        <v>14</v>
      </c>
      <c r="M60" s="17">
        <f t="shared" si="46"/>
        <v>2286.3157894736842</v>
      </c>
      <c r="N60" s="16">
        <f t="shared" si="3"/>
        <v>163.30827067669173</v>
      </c>
      <c r="O60" s="18">
        <f t="shared" si="4"/>
        <v>0</v>
      </c>
      <c r="P60" s="19">
        <f t="shared" si="5"/>
        <v>-8.1203007518796824</v>
      </c>
      <c r="Q60" s="20">
        <f t="shared" si="6"/>
        <v>0.9526315789473685</v>
      </c>
      <c r="R60" s="170"/>
      <c r="S60" s="27">
        <v>0.21875</v>
      </c>
      <c r="T60" s="27">
        <v>0.32430555555555557</v>
      </c>
      <c r="U60" s="4">
        <f t="shared" si="48"/>
        <v>7.0000000000000151</v>
      </c>
      <c r="V60" s="21">
        <f t="shared" si="47"/>
        <v>152.00000000000003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-113.68421052631584</v>
      </c>
      <c r="AF60" s="20">
        <f t="shared" si="9"/>
        <v>0.95263157894736838</v>
      </c>
      <c r="AG60" s="170"/>
    </row>
    <row r="61" spans="1:33" ht="15.75" customHeight="1">
      <c r="A61" s="168" t="s">
        <v>75</v>
      </c>
      <c r="B61" s="4" t="s">
        <v>97</v>
      </c>
      <c r="C61" s="163" t="s">
        <v>132</v>
      </c>
      <c r="D61" s="163"/>
      <c r="E61" s="35">
        <v>19.02</v>
      </c>
      <c r="F61" s="4">
        <v>8008</v>
      </c>
      <c r="G61" s="4">
        <f t="shared" si="45"/>
        <v>152312.16</v>
      </c>
      <c r="H61" s="21" t="s">
        <v>133</v>
      </c>
      <c r="I61" s="15">
        <v>14</v>
      </c>
      <c r="J61" s="17">
        <v>2400</v>
      </c>
      <c r="K61" s="16">
        <f t="shared" si="1"/>
        <v>171.42857142857142</v>
      </c>
      <c r="L61" s="15">
        <v>14</v>
      </c>
      <c r="M61" s="17">
        <f t="shared" si="46"/>
        <v>2288.0000000000005</v>
      </c>
      <c r="N61" s="16">
        <f t="shared" si="3"/>
        <v>163.42857142857147</v>
      </c>
      <c r="O61" s="18">
        <f t="shared" si="4"/>
        <v>0</v>
      </c>
      <c r="P61" s="19">
        <f t="shared" si="5"/>
        <v>-7.9999999999999432</v>
      </c>
      <c r="Q61" s="20">
        <f t="shared" si="6"/>
        <v>0.9533333333333337</v>
      </c>
      <c r="R61" s="170"/>
      <c r="S61" s="27">
        <v>0.32777777777777778</v>
      </c>
      <c r="T61" s="27">
        <v>0.47361111111111109</v>
      </c>
      <c r="U61" s="4">
        <f t="shared" si="48"/>
        <v>4.9999999999999822</v>
      </c>
      <c r="V61" s="21">
        <f t="shared" si="47"/>
        <v>209.99999999999997</v>
      </c>
      <c r="W61" s="22"/>
      <c r="X61" s="22"/>
      <c r="Y61" s="22"/>
      <c r="Z61" s="22"/>
      <c r="AA61" s="162"/>
      <c r="AB61" s="162"/>
      <c r="AC61" s="24"/>
      <c r="AD61" s="24"/>
      <c r="AE61" s="18">
        <f t="shared" si="43"/>
        <v>-111.99999999999955</v>
      </c>
      <c r="AF61" s="20">
        <f t="shared" si="9"/>
        <v>0.95333333333333348</v>
      </c>
      <c r="AG61" s="170"/>
    </row>
    <row r="62" spans="1:33" ht="16.5" customHeight="1">
      <c r="A62" s="169" t="s">
        <v>2494</v>
      </c>
      <c r="B62" s="35" t="s">
        <v>48</v>
      </c>
      <c r="C62" s="164"/>
      <c r="D62" s="165"/>
      <c r="E62" s="36"/>
      <c r="F62" s="16"/>
      <c r="G62" s="16"/>
      <c r="H62" s="4"/>
      <c r="I62" s="29">
        <v>15.4</v>
      </c>
      <c r="J62" s="17">
        <v>2400</v>
      </c>
      <c r="K62" s="16">
        <f t="shared" si="1"/>
        <v>155.84415584415584</v>
      </c>
      <c r="L62" s="29">
        <v>15.4</v>
      </c>
      <c r="M62" s="17">
        <f>AVERAGE(M57:M61)</f>
        <v>2298.0586466165414</v>
      </c>
      <c r="N62" s="16">
        <f t="shared" si="3"/>
        <v>149.22458744263255</v>
      </c>
      <c r="O62" s="18">
        <f t="shared" si="4"/>
        <v>0</v>
      </c>
      <c r="P62" s="19">
        <f t="shared" si="5"/>
        <v>-6.6195684015232814</v>
      </c>
      <c r="Q62" s="20">
        <f t="shared" si="6"/>
        <v>0.95752443609022564</v>
      </c>
      <c r="R62" s="170"/>
      <c r="S62" s="27"/>
      <c r="T62" s="27"/>
      <c r="U62" s="16"/>
      <c r="V62" s="21"/>
      <c r="W62" s="16"/>
      <c r="X62" s="16"/>
      <c r="Y62" s="30">
        <f>SUM(Y57:Y61)</f>
        <v>0</v>
      </c>
      <c r="Z62" s="30">
        <f>SUM(Z57:Z61)</f>
        <v>0</v>
      </c>
      <c r="AA62" s="166"/>
      <c r="AB62" s="166"/>
      <c r="AC62" s="30">
        <v>5</v>
      </c>
      <c r="AD62" s="30">
        <f>SUM(AD57:AD61)</f>
        <v>0</v>
      </c>
      <c r="AE62" s="18">
        <f t="shared" si="43"/>
        <v>-101.94135338345859</v>
      </c>
      <c r="AF62" s="20">
        <f t="shared" si="9"/>
        <v>0.95752443609022564</v>
      </c>
      <c r="AG62" s="170"/>
    </row>
    <row r="63" spans="1:33">
      <c r="D63" s="41"/>
      <c r="E63" s="41"/>
    </row>
  </sheetData>
  <mergeCells count="177"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AA53:AB53"/>
    <mergeCell ref="C54:D54"/>
    <mergeCell ref="AA54:AB54"/>
    <mergeCell ref="C55:D55"/>
    <mergeCell ref="AA55:AB55"/>
    <mergeCell ref="C56:D56"/>
    <mergeCell ref="A57:A62"/>
    <mergeCell ref="C57:D57"/>
    <mergeCell ref="R57:R62"/>
    <mergeCell ref="AA57:AB57"/>
    <mergeCell ref="A51:A56"/>
    <mergeCell ref="C51:D51"/>
    <mergeCell ref="R51:R56"/>
    <mergeCell ref="AA51:AB51"/>
    <mergeCell ref="AA56:AB56"/>
    <mergeCell ref="AG43:AG50"/>
    <mergeCell ref="C44:D44"/>
    <mergeCell ref="AA44:AB44"/>
    <mergeCell ref="C45:D45"/>
    <mergeCell ref="AA45:AB45"/>
    <mergeCell ref="AA46:AB46"/>
    <mergeCell ref="AA47:AB47"/>
    <mergeCell ref="C48:D48"/>
    <mergeCell ref="AA48:AB48"/>
    <mergeCell ref="C49:D49"/>
    <mergeCell ref="A43:A50"/>
    <mergeCell ref="C43:D43"/>
    <mergeCell ref="R43:R50"/>
    <mergeCell ref="AA43:AB43"/>
    <mergeCell ref="AA49:AB49"/>
    <mergeCell ref="AG51:AG56"/>
    <mergeCell ref="C52:D52"/>
    <mergeCell ref="AA52:AB52"/>
    <mergeCell ref="C53:D53"/>
    <mergeCell ref="A37:A42"/>
    <mergeCell ref="C37:D37"/>
    <mergeCell ref="R37:R42"/>
    <mergeCell ref="AA37:AB37"/>
    <mergeCell ref="C50:D50"/>
    <mergeCell ref="AA50:AB50"/>
    <mergeCell ref="AG37:AG42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31:A36"/>
    <mergeCell ref="C31:D31"/>
    <mergeCell ref="R31:R36"/>
    <mergeCell ref="AA31:AB31"/>
    <mergeCell ref="AA36:AB36"/>
    <mergeCell ref="A25:A30"/>
    <mergeCell ref="C25:D25"/>
    <mergeCell ref="R25:R30"/>
    <mergeCell ref="AA25:AB25"/>
    <mergeCell ref="AG25:AG30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2">
    <cfRule type="cellIs" dxfId="242" priority="9" operator="greaterThan">
      <formula>0</formula>
    </cfRule>
  </conditionalFormatting>
  <conditionalFormatting sqref="P5:P62">
    <cfRule type="cellIs" dxfId="241" priority="1" operator="lessThan">
      <formula>0</formula>
    </cfRule>
  </conditionalFormatting>
  <conditionalFormatting sqref="Q5:Q62 AF5:AF62">
    <cfRule type="cellIs" dxfId="240" priority="10" operator="greaterThan">
      <formula>1</formula>
    </cfRule>
    <cfRule type="cellIs" dxfId="239" priority="11" operator="lessThan">
      <formula>0.8</formula>
    </cfRule>
  </conditionalFormatting>
  <conditionalFormatting sqref="R5:R10 AG5:AG10">
    <cfRule type="cellIs" dxfId="238" priority="42" operator="lessThan">
      <formula>0.8</formula>
    </cfRule>
  </conditionalFormatting>
  <conditionalFormatting sqref="AE5:AE62">
    <cfRule type="cellIs" dxfId="237" priority="12" operator="lessThan">
      <formula>0</formula>
    </cfRule>
  </conditionalFormatting>
  <conditionalFormatting sqref="AG13:AG54 R13:R62">
    <cfRule type="cellIs" dxfId="236" priority="13" operator="lessThan">
      <formula>0.8</formula>
    </cfRule>
  </conditionalFormatting>
  <dataValidations count="1">
    <dataValidation type="list" allowBlank="1" showInputMessage="1" showErrorMessage="1" sqref="AB9 AA5:AB8 AB55 AB11:AB51 AA9:AA55 AA56:AB62" xr:uid="{00000000-0002-0000-0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Q32"/>
  <sheetViews>
    <sheetView zoomScale="85" zoomScaleNormal="85" workbookViewId="0">
      <selection activeCell="E29" sqref="E29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2318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2319</v>
      </c>
      <c r="C3" s="151" t="str">
        <f>TEXT('0327 4度C'!A2,"yyyy.mm.ddaaaa")</f>
        <v>2026.03.27星期五</v>
      </c>
      <c r="D3" s="152"/>
      <c r="E3" s="45" t="s">
        <v>2320</v>
      </c>
      <c r="F3" s="153">
        <f>'0327 4度C'!D1</f>
        <v>131038</v>
      </c>
      <c r="G3" s="154"/>
      <c r="H3" s="45" t="s">
        <v>2321</v>
      </c>
      <c r="I3" s="155">
        <f>'0327 4度C'!F1</f>
        <v>4403743.1899999985</v>
      </c>
      <c r="J3" s="156"/>
      <c r="K3" s="46"/>
      <c r="L3" s="47"/>
      <c r="M3" s="47"/>
      <c r="N3" s="47"/>
    </row>
    <row r="4" spans="2:17" ht="28.5" customHeight="1">
      <c r="B4" s="157" t="s">
        <v>2322</v>
      </c>
      <c r="C4" s="143" t="s">
        <v>710</v>
      </c>
      <c r="D4" s="144"/>
      <c r="E4" s="160" t="s">
        <v>2323</v>
      </c>
      <c r="F4" s="161"/>
      <c r="G4" s="160" t="s">
        <v>2324</v>
      </c>
      <c r="H4" s="161"/>
      <c r="I4" s="160" t="s">
        <v>2325</v>
      </c>
      <c r="J4" s="161"/>
      <c r="K4" s="141" t="s">
        <v>2326</v>
      </c>
      <c r="L4" s="142"/>
      <c r="M4" s="142" t="s">
        <v>2327</v>
      </c>
      <c r="N4" s="142"/>
    </row>
    <row r="5" spans="2:17" ht="28.5" customHeight="1">
      <c r="B5" s="158"/>
      <c r="C5" s="143" t="s">
        <v>2328</v>
      </c>
      <c r="D5" s="144"/>
      <c r="E5" s="143" t="s">
        <v>2329</v>
      </c>
      <c r="F5" s="144"/>
      <c r="G5" s="145" t="s">
        <v>2330</v>
      </c>
      <c r="H5" s="146"/>
      <c r="I5" s="147" t="s">
        <v>2331</v>
      </c>
      <c r="J5" s="148"/>
      <c r="K5" s="48" t="s">
        <v>2332</v>
      </c>
      <c r="L5" s="49" t="s">
        <v>2333</v>
      </c>
      <c r="M5" s="48" t="s">
        <v>2332</v>
      </c>
      <c r="N5" s="49" t="s">
        <v>2334</v>
      </c>
    </row>
    <row r="6" spans="2:17" ht="28.5" customHeight="1">
      <c r="B6" s="158"/>
      <c r="C6" s="143" t="s">
        <v>153</v>
      </c>
      <c r="D6" s="144"/>
      <c r="E6" s="135">
        <f>AVERAGE(D13:M13)</f>
        <v>155.24413529029374</v>
      </c>
      <c r="F6" s="136">
        <f>AVERAGE(D31:O31,D13:J13)</f>
        <v>161.39982544092135</v>
      </c>
      <c r="G6" s="137">
        <f>AVERAGE(D13:J13)</f>
        <v>161.39982544092135</v>
      </c>
      <c r="H6" s="138"/>
      <c r="I6" s="137">
        <f>AVERAGE(K13:M13)</f>
        <v>140.88085827216261</v>
      </c>
      <c r="J6" s="138"/>
      <c r="K6" s="139">
        <f>'0327 4度C'!Y2</f>
        <v>0</v>
      </c>
      <c r="L6" s="124">
        <f>'0327 4度C'!Z2</f>
        <v>0</v>
      </c>
      <c r="M6" s="140">
        <f>'0327 4度C'!AC2</f>
        <v>48</v>
      </c>
      <c r="N6" s="124">
        <f>'0327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148.98370182956086</v>
      </c>
      <c r="F7" s="128">
        <f>AVERAGE(D32:O32,D14:J14)</f>
        <v>154.98680382650303</v>
      </c>
      <c r="G7" s="129">
        <f>AVERAGE(D14:J14)</f>
        <v>154.98680382650303</v>
      </c>
      <c r="H7" s="130"/>
      <c r="I7" s="129">
        <f>AVERAGE(K14:M14)</f>
        <v>134.97646383669581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0.95991766879986218</v>
      </c>
      <c r="F8" s="132">
        <f>AVERAGE(D15:J15,D33:O33)</f>
        <v>0.96069022250324887</v>
      </c>
      <c r="G8" s="133">
        <f>AVERAGE(D15:J15)</f>
        <v>0.96069022250324887</v>
      </c>
      <c r="H8" s="134"/>
      <c r="I8" s="133">
        <f>AVERAGE(K15:M15)</f>
        <v>0.95811504349196042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2335</v>
      </c>
      <c r="N9" s="47"/>
      <c r="O9" s="47"/>
      <c r="P9" s="47"/>
      <c r="Q9" s="47"/>
    </row>
    <row r="10" spans="2:17" ht="30" customHeight="1">
      <c r="B10" s="107" t="s">
        <v>2336</v>
      </c>
      <c r="C10" s="108"/>
      <c r="D10" s="109" t="s">
        <v>2337</v>
      </c>
      <c r="E10" s="110"/>
      <c r="F10" s="110"/>
      <c r="G10" s="110"/>
      <c r="H10" s="110"/>
      <c r="I10" s="110"/>
      <c r="J10" s="111"/>
      <c r="K10" s="112" t="s">
        <v>2338</v>
      </c>
      <c r="L10" s="113"/>
      <c r="M10" s="114"/>
      <c r="P10" s="53"/>
      <c r="Q10" s="53"/>
    </row>
    <row r="11" spans="2:17" ht="17.25" customHeight="1">
      <c r="B11" s="115" t="s">
        <v>2339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2340</v>
      </c>
      <c r="D13" s="61">
        <f>SUMIFS('0327 4度C'!$K:$K,'0327 4度C'!$A:$A,"新豐6線",'0327 4度C'!$B:$B,"平均")</f>
        <v>111.11111111111111</v>
      </c>
      <c r="E13" s="62">
        <f>SUMIFS('0327 4度C'!$K:$K,'0327 4度C'!$A:$A,"新豐2線",'0327 4度C'!$B:$B,"平均")</f>
        <v>83.333333333333329</v>
      </c>
      <c r="F13" s="63">
        <f>SUMIFS('0327 4度C'!$K:$K,'0327 4度C'!$A:$A,"新豐5線",'0327 4度C'!$B:$B,"平均")</f>
        <v>102.73972602739725</v>
      </c>
      <c r="G13" s="63">
        <f>SUMIFS('0327 4度C'!$K:$K,'0327 4度C'!$A:$A,"新豐7線",'0327 4度C'!$B:$B,"平均")</f>
        <v>127.77777777777779</v>
      </c>
      <c r="H13" s="63">
        <f>SUMIFS('0327 4度C'!$K:$K,'0327 4度C'!$A:$A,"新豐3線",'0327 4度C'!$B:$B,"平均")</f>
        <v>333.33333333333331</v>
      </c>
      <c r="I13" s="63">
        <f>SUMIFS('0327 4度C'!$K:$K,'0327 4度C'!$A:$A,"新豐1線",'0327 4度C'!$B:$B,"平均")</f>
        <v>102.27272727272728</v>
      </c>
      <c r="J13" s="64">
        <f>SUMIFS('0327 4度C'!$K:$K,'0327 4度C'!$A:$A,"新豐10線",'0327 4度C'!$B:$B,"平均")</f>
        <v>269.23076923076923</v>
      </c>
      <c r="K13" s="65">
        <f>SUMIFS('0327 4度C'!$K:$K,'0327 4度C'!$A:$A,"新豐8線",'0327 4度C'!$B:$B,"平均")</f>
        <v>130.43478260869566</v>
      </c>
      <c r="L13" s="66">
        <f>SUMIFS('0327 4度C'!$K:$K,'0327 4度C'!$A:$A,"新豐9線",'0327 4度C'!$B:$B,"平均")</f>
        <v>136.36363636363635</v>
      </c>
      <c r="M13" s="64">
        <f>SUMIFS('0327 4度C'!$K:$K,'0327 4度C'!$A:$A,"新豐4線",'0327 4度C'!$B:$B,"平均")</f>
        <v>155.84415584415584</v>
      </c>
    </row>
    <row r="14" spans="2:17" ht="39.6" customHeight="1">
      <c r="B14" s="120"/>
      <c r="C14" s="67" t="s">
        <v>2341</v>
      </c>
      <c r="D14" s="68">
        <f>SUMIFS('0327 4度C'!$N:$N,'0327 4度C'!$A:$A,"新豐6線",'0327 4度C'!$B:$B,"平均")</f>
        <v>107.77230939080361</v>
      </c>
      <c r="E14" s="69">
        <f>SUMIFS('0327 4度C'!$N:$N,'0327 4度C'!$A:$A,"新豐2線",'0327 4度C'!$B:$B,"平均")</f>
        <v>79.702249636066199</v>
      </c>
      <c r="F14" s="69">
        <f>SUMIFS('0327 4度C'!$N:$N,'0327 4度C'!$A:$A,"新豐5線",'0327 4度C'!$B:$B,"平均")</f>
        <v>97.856086550435791</v>
      </c>
      <c r="G14" s="69">
        <f>SUMIFS('0327 4度C'!$N:$N,'0327 4度C'!$A:$A,"新豐7線",'0327 4度C'!$B:$B,"平均")</f>
        <v>122.8186413219979</v>
      </c>
      <c r="H14" s="69">
        <f>SUMIFS('0327 4度C'!$N:$N,'0327 4度C'!$A:$A,"新豐3線",'0327 4度C'!$B:$B,"平均")</f>
        <v>318.08288404634169</v>
      </c>
      <c r="I14" s="69">
        <f>SUMIFS('0327 4度C'!$N:$N,'0327 4度C'!$A:$A,"新豐1線",'0327 4度C'!$B:$B,"平均")</f>
        <v>98.676921041341089</v>
      </c>
      <c r="J14" s="70">
        <f>SUMIFS('0327 4度C'!$N:$N,'0327 4度C'!$A:$A,"新豐10線",'0327 4度C'!$B:$B,"平均")</f>
        <v>259.99853479853488</v>
      </c>
      <c r="K14" s="71">
        <f>SUMIFS('0327 4度C'!$N:$N,'0327 4度C'!$A:$A,"新豐8線",'0327 4度C'!$B:$B,"平均")</f>
        <v>125.31395869512453</v>
      </c>
      <c r="L14" s="72">
        <f>SUMIFS('0327 4度C'!$N:$N,'0327 4度C'!$A:$A,"新豐9線",'0327 4度C'!$B:$B,"平均")</f>
        <v>130.26082172790635</v>
      </c>
      <c r="M14" s="70">
        <f>SUMIFS('0327 4度C'!$N:$N,'0327 4度C'!$A:$A,"新豐4線",'0327 4度C'!$B:$B,"平均")</f>
        <v>149.35461108705658</v>
      </c>
    </row>
    <row r="15" spans="2:17" ht="40.15" customHeight="1">
      <c r="B15" s="121"/>
      <c r="C15" s="73" t="s">
        <v>2342</v>
      </c>
      <c r="D15" s="74">
        <f t="shared" ref="D15:M15" si="0">D14/D13</f>
        <v>0.96995078451723249</v>
      </c>
      <c r="E15" s="75">
        <f t="shared" si="0"/>
        <v>0.95642699563279443</v>
      </c>
      <c r="F15" s="75">
        <f t="shared" si="0"/>
        <v>0.95246590909090845</v>
      </c>
      <c r="G15" s="75">
        <f t="shared" si="0"/>
        <v>0.96118936686780965</v>
      </c>
      <c r="H15" s="75">
        <f t="shared" si="0"/>
        <v>0.9542486521390251</v>
      </c>
      <c r="I15" s="75">
        <f t="shared" si="0"/>
        <v>0.96484100573755727</v>
      </c>
      <c r="J15" s="76">
        <f t="shared" si="0"/>
        <v>0.96570884353741526</v>
      </c>
      <c r="K15" s="74">
        <f t="shared" si="0"/>
        <v>0.9607403499959547</v>
      </c>
      <c r="L15" s="75">
        <f t="shared" si="0"/>
        <v>0.9552460260046467</v>
      </c>
      <c r="M15" s="76">
        <f t="shared" si="0"/>
        <v>0.95835875447527974</v>
      </c>
    </row>
    <row r="16" spans="2:17" ht="17.25" customHeight="1">
      <c r="B16" s="122" t="s">
        <v>2343</v>
      </c>
      <c r="C16" s="77" t="s">
        <v>2344</v>
      </c>
      <c r="D16" s="78">
        <f>VLOOKUP("新豐6線",'0327 4度C'!$A:$T,19,0)</f>
        <v>0.70833333333333337</v>
      </c>
      <c r="E16" s="79">
        <f>VLOOKUP("新豐2線",'0327 4度C'!$A:$T,19,0)</f>
        <v>0.20833333333333334</v>
      </c>
      <c r="F16" s="79">
        <f>VLOOKUP("新豐5線",'0327 4度C'!$A:$T,19,0)</f>
        <v>0.20833333333333334</v>
      </c>
      <c r="G16" s="79">
        <f>VLOOKUP("新豐7線",'0327 4度C'!$A:$T,19,0)</f>
        <v>0.20833333333333334</v>
      </c>
      <c r="H16" s="79">
        <f>VLOOKUP("新豐3線",'0327 4度C'!$A:$T,19,0)</f>
        <v>8.3333333333333329E-2</v>
      </c>
      <c r="I16" s="79">
        <f>VLOOKUP("新豐1線",'0327 4度C'!$A:$T,19,0)</f>
        <v>0.20833333333333334</v>
      </c>
      <c r="J16" s="80">
        <f>VLOOKUP("新豐10線",'0327 4度C'!$A:$T,19,0)</f>
        <v>0.20833333333333334</v>
      </c>
      <c r="K16" s="81">
        <f>VLOOKUP("新豐8線",'0327 4度C'!$A:$T,19,0)</f>
        <v>8.3333333333333329E-2</v>
      </c>
      <c r="L16" s="82">
        <f>VLOOKUP("新豐9線",'0327 4度C'!$A:$T,19,0)</f>
        <v>8.3333333333333329E-2</v>
      </c>
      <c r="M16" s="83">
        <f>VLOOKUP("新豐4線",'0327 4度C'!$A:$T,19,0)</f>
        <v>8.3333333333333329E-2</v>
      </c>
    </row>
    <row r="17" spans="2:13" ht="17.25" customHeight="1">
      <c r="B17" s="123"/>
      <c r="C17" s="77" t="s">
        <v>2345</v>
      </c>
      <c r="D17" s="81">
        <f>LOOKUP(2,1/(('0327 4度C'!$A:$A="新豐6線")*('0327 4度C'!$T:$T&lt;&gt;"")),'0327 4度C'!$T:$T)</f>
        <v>0.81388888888888888</v>
      </c>
      <c r="E17" s="79">
        <f>LOOKUP(2,1/(('0327 4度C'!$A:$A="新豐2線")*('0327 4度C'!$T:$T&lt;&gt;"")),'0327 4度C'!$T:$T)</f>
        <v>0.51319444444444451</v>
      </c>
      <c r="F17" s="79">
        <f>LOOKUP(2,1/(('0327 4度C'!$A:$A="新豐5線")*('0327 4度C'!$T:$T&lt;&gt;"")),'0327 4度C'!$T:$T)</f>
        <v>0.82013888888888875</v>
      </c>
      <c r="G17" s="79">
        <f>LOOKUP(2,1/(('0327 4度C'!$A:$A="新豐7線")*('0327 4度C'!$T:$T&lt;&gt;"")),'0327 4度C'!$T:$T)</f>
        <v>0.83124999999999993</v>
      </c>
      <c r="H17" s="79">
        <f>LOOKUP(2,1/(('0327 4度C'!$A:$A="新豐3線")*('0327 4度C'!$T:$T&lt;&gt;"")),'0327 4度C'!$T:$T)</f>
        <v>0.40486111111111106</v>
      </c>
      <c r="I17" s="79">
        <f>LOOKUP(2,1/(('0327 4度C'!$A:$A="新豐1線")*('0327 4度C'!$T:$T&lt;&gt;"")),'0327 4度C'!$T:$T)</f>
        <v>0.84097222222222223</v>
      </c>
      <c r="J17" s="80">
        <f>LOOKUP(2,1/(('0327 4度C'!$A:$A="新豐10線")*('0327 4度C'!$T:$T&lt;&gt;"")),'0327 4度C'!$T:$T)</f>
        <v>0.39791666666666664</v>
      </c>
      <c r="K17" s="78">
        <f>LOOKUP(2,1/(('0327 4度C'!$A:$A="新豐8線")*('0327 4度C'!$T:$T&lt;&gt;"")),'0327 4度C'!$T:$T)</f>
        <v>0.46249999999999991</v>
      </c>
      <c r="L17" s="79">
        <f>LOOKUP(2,1/(('0327 4度C'!$A:$A="新豐9線")*('0327 4度C'!$T:$T&lt;&gt;"")),'0327 4度C'!$T:$T)</f>
        <v>0.49027777777777776</v>
      </c>
      <c r="M17" s="80">
        <f>LOOKUP(2,1/(('0327 4度C'!$A:$A="新豐4線")*('0327 4度C'!$T:$T&lt;&gt;"")),'0327 4度C'!$T:$T)</f>
        <v>0.46388888888888891</v>
      </c>
    </row>
    <row r="18" spans="2:13" ht="17.25" customHeight="1">
      <c r="B18" s="101" t="s">
        <v>2346</v>
      </c>
      <c r="C18" s="84" t="s">
        <v>2347</v>
      </c>
      <c r="D18" s="85">
        <f>SUMIFS('0327 4度C'!$Y:$Y,'0327 4度C'!$A:$A,"新豐6線",'0327 4度C'!$B:$B,"平均")</f>
        <v>0</v>
      </c>
      <c r="E18" s="86">
        <f>SUMIFS('0327 4度C'!$Y:$Y,'0327 4度C'!$A:$A,"新豐2線",'0327 4度C'!$B:$B,"平均")</f>
        <v>0</v>
      </c>
      <c r="F18" s="86">
        <f>SUMIFS('0327 4度C'!$Y:$Y,'0327 4度C'!$A:$A,"新豐5線",'0327 4度C'!$B:$B,"平均")</f>
        <v>0</v>
      </c>
      <c r="G18" s="86">
        <f>SUMIFS('0327 4度C'!$Y:$Y,'0327 4度C'!$A:$A,"新豐7線",'0327 4度C'!$B:$B,"平均")</f>
        <v>0</v>
      </c>
      <c r="H18" s="86">
        <f>SUMIFS('0327 4度C'!$Y:$Y,'0327 4度C'!$A:$A,"新豐3線",'0327 4度C'!$B:$B,"平均")</f>
        <v>0</v>
      </c>
      <c r="I18" s="86">
        <f>SUMIFS('0327 4度C'!$Y:$Y,'0327 4度C'!$A:$A,"新豐1線",'0327 4度C'!$B:$B,"平均")</f>
        <v>0</v>
      </c>
      <c r="J18" s="87">
        <f>SUMIFS('0327 4度C'!$Y:$Y,'0327 4度C'!$A:$A,"新豐10線",'0327 4度C'!$B:$B,"平均")</f>
        <v>0</v>
      </c>
      <c r="K18" s="88">
        <f>SUMIFS('0327 4度C'!$Y:$Y,'0327 4度C'!$A:$A,"新豐8線",'0327 4度C'!$B:$B,"平均")</f>
        <v>0</v>
      </c>
      <c r="L18" s="86">
        <f>SUMIFS('0327 4度C'!$Y:$Y,'0327 4度C'!$A:$A,"新豐9線",'0327 4度C'!$B:$B,"平均")</f>
        <v>0</v>
      </c>
      <c r="M18" s="87">
        <f>SUMIFS('0327 4度C'!$Y:$Y,'0327 4度C'!$A:$A,"新豐4線",'0327 4度C'!$B:$B,"平均")</f>
        <v>0</v>
      </c>
    </row>
    <row r="19" spans="2:13" ht="17.25" customHeight="1">
      <c r="B19" s="102"/>
      <c r="C19" s="84" t="s">
        <v>2348</v>
      </c>
      <c r="D19" s="85">
        <f>SUMIFS('0327 4度C'!$Z:$Z,'0327 4度C'!$A:$A,"新豐6線",'0327 4度C'!$B:$B,"平均")</f>
        <v>0</v>
      </c>
      <c r="E19" s="86">
        <f>SUMIFS('0327 4度C'!$Z:$Z,'0327 4度C'!$A:$A,"新豐2線",'0327 4度C'!$B:$B,"平均")</f>
        <v>0</v>
      </c>
      <c r="F19" s="86">
        <f>SUMIFS('0327 4度C'!$Z:$Z,'0327 4度C'!$A:$A,"新豐5線",'0327 4度C'!$B:$B,"平均")</f>
        <v>0</v>
      </c>
      <c r="G19" s="86">
        <f>SUMIFS('0327 4度C'!$Z:$Z,'0327 4度C'!$A:$A,"新豐7線",'0327 4度C'!$B:$B,"平均")</f>
        <v>0</v>
      </c>
      <c r="H19" s="86">
        <f>SUMIFS('0327 4度C'!$Z:$Z,'0327 4度C'!$A:$A,"新豐3線",'0327 4度C'!$B:$B,"平均")</f>
        <v>0</v>
      </c>
      <c r="I19" s="86">
        <f>SUMIFS('0327 4度C'!$Z:$Z,'0327 4度C'!$A:$A,"新豐1線",'0327 4度C'!$B:$B,"平均")</f>
        <v>0</v>
      </c>
      <c r="J19" s="87">
        <f>SUMIFS('0327 4度C'!$Z:$Z,'0327 4度C'!$A:$A,"新豐10線",'0327 4度C'!$B:$B,"平均")</f>
        <v>0</v>
      </c>
      <c r="K19" s="88">
        <f>SUMIFS('0327 4度C'!$Z:$Z,'0327 4度C'!$A:$A,"新豐8線",'0327 4度C'!$B:$B,"平均")</f>
        <v>0</v>
      </c>
      <c r="L19" s="86">
        <f>SUMIFS('0327 4度C'!$Z:$Z,'0327 4度C'!$A:$A,"新豐9線",'0327 4度C'!$B:$B,"平均")</f>
        <v>0</v>
      </c>
      <c r="M19" s="87">
        <f>SUMIFS('0327 4度C'!$Z:$Z,'0327 4度C'!$A:$A,"新豐4線",'0327 4度C'!$B:$B,"平均")</f>
        <v>0</v>
      </c>
    </row>
    <row r="20" spans="2:13" ht="17.25" customHeight="1">
      <c r="B20" s="101" t="s">
        <v>2349</v>
      </c>
      <c r="C20" s="84" t="s">
        <v>2347</v>
      </c>
      <c r="D20" s="85">
        <f>SUMIFS('0327 4度C'!$AC:$AC,'0327 4度C'!$A:$A,"新豐6線",'0327 4度C'!$B:$B,"平均")</f>
        <v>4</v>
      </c>
      <c r="E20" s="86">
        <f>SUMIFS('0327 4度C'!$AC:$AC,'0327 4度C'!$A:$A,"新豐2線",'0327 4度C'!$B:$B,"平均")</f>
        <v>2</v>
      </c>
      <c r="F20" s="86">
        <f>SUMIFS('0327 4度C'!$AC:$AC,'0327 4度C'!$A:$A,"新豐5線",'0327 4度C'!$B:$B,"平均")</f>
        <v>4</v>
      </c>
      <c r="G20" s="86">
        <f>SUMIFS('0327 4度C'!$AC:$AC,'0327 4度C'!$A:$A,"新豐7線",'0327 4度C'!$B:$B,"平均")</f>
        <v>6</v>
      </c>
      <c r="H20" s="86">
        <f>SUMIFS('0327 4度C'!$AC:$AC,'0327 4度C'!$A:$A,"新豐3線",'0327 4度C'!$B:$B,"平均")</f>
        <v>5</v>
      </c>
      <c r="I20" s="86">
        <f>SUMIFS('0327 4度C'!$AC:$AC,'0327 4度C'!$A:$A,"新豐1線",'0327 4度C'!$B:$B,"平均")</f>
        <v>7</v>
      </c>
      <c r="J20" s="87">
        <f>SUMIFS('0327 4度C'!$AC:$AC,'0327 4度C'!$A:$A,"新豐10線",'0327 4度C'!$B:$B,"平均")</f>
        <v>5</v>
      </c>
      <c r="K20" s="88">
        <f>SUMIFS('0327 4度C'!$AC:$AC,'0327 4度C'!$A:$A,"新豐8線",'0327 4度C'!$B:$B,"平均")</f>
        <v>5</v>
      </c>
      <c r="L20" s="86">
        <f>SUMIFS('0327 4度C'!$AC:$AC,'0327 4度C'!$A:$A,"新豐9線",'0327 4度C'!$B:$B,"平均")</f>
        <v>5</v>
      </c>
      <c r="M20" s="87">
        <f>SUMIFS('0327 4度C'!$AC:$AC,'0327 4度C'!$A:$A,"新豐4線",'0327 4度C'!$B:$B,"平均")</f>
        <v>5</v>
      </c>
    </row>
    <row r="21" spans="2:13" ht="17.25" customHeight="1">
      <c r="B21" s="102"/>
      <c r="C21" s="84" t="s">
        <v>2350</v>
      </c>
      <c r="D21" s="85">
        <f>SUMIFS('0327 4度C'!$AD:$AD,'0327 4度C'!$A:$A,"新豐6線",'0327 4度C'!$B:$B,"平均")</f>
        <v>0</v>
      </c>
      <c r="E21" s="86">
        <f>SUMIFS('0327 4度C'!$AD:$AD,'0327 4度C'!$A:$A,"新豐2線",'0327 4度C'!$B:$B,"平均")</f>
        <v>0</v>
      </c>
      <c r="F21" s="86">
        <f>SUMIFS('0327 4度C'!$AD:$AD,'0327 4度C'!$A:$A,"新豐5線",'0327 4度C'!$B:$B,"平均")</f>
        <v>0</v>
      </c>
      <c r="G21" s="86">
        <f>SUMIFS('0327 4度C'!$AD:$AD,'0327 4度C'!$A:$A,"新豐7線",'0327 4度C'!$B:$B,"平均")</f>
        <v>0</v>
      </c>
      <c r="H21" s="86">
        <f>SUMIFS('0327 4度C'!$AD:$AD,'0327 4度C'!$A:$A,"新豐3線",'0327 4度C'!$B:$B,"平均")</f>
        <v>0</v>
      </c>
      <c r="I21" s="86">
        <f>SUMIFS('0327 4度C'!$AD:$AD,'0327 4度C'!$A:$A,"新豐1線",'0327 4度C'!$B:$B,"平均")</f>
        <v>0</v>
      </c>
      <c r="J21" s="87">
        <f>SUMIFS('0327 4度C'!$AD:$AD,'0327 4度C'!$A:$A,"新豐10線",'0327 4度C'!$B:$B,"平均")</f>
        <v>0</v>
      </c>
      <c r="K21" s="88">
        <f>SUMIFS('0327 4度C'!$AD:$AD,'0327 4度C'!$A:$A,"新豐8線",'0327 4度C'!$B:$B,"平均")</f>
        <v>0</v>
      </c>
      <c r="L21" s="86">
        <f>SUMIFS('0327 4度C'!$AD:$AD,'0327 4度C'!$A:$A,"新豐9線",'0327 4度C'!$B:$B,"平均")</f>
        <v>0</v>
      </c>
      <c r="M21" s="87">
        <f>SUMIFS('0327 4度C'!$AD:$AD,'0327 4度C'!$A:$A,"新豐4線",'0327 4度C'!$B:$B,"平均")</f>
        <v>0</v>
      </c>
    </row>
    <row r="22" spans="2:13" ht="17.25" customHeight="1">
      <c r="B22" s="103" t="s">
        <v>1081</v>
      </c>
      <c r="C22" s="104"/>
      <c r="D22" s="89">
        <f>SUMIFS('0327 4度C'!$I:$I,'0327 4度C'!$A:$A,"新豐6線",'0327 4度C'!$B:$B,"平均")</f>
        <v>18</v>
      </c>
      <c r="E22" s="90">
        <f>SUMIFS('0327 4度C'!$I:$I,'0327 4度C'!$A:$A,"新豐2線",'0327 4度C'!$B:$B,"平均")</f>
        <v>18</v>
      </c>
      <c r="F22" s="90">
        <f>SUMIFS('0327 4度C'!$I:$I,'0327 4度C'!$A:$A,"新豐5線",'0327 4度C'!$B:$B,"平均")</f>
        <v>18.25</v>
      </c>
      <c r="G22" s="90">
        <f>SUMIFS('0327 4度C'!$I:$I,'0327 4度C'!$A:$A,"新豐7線",'0327 4度C'!$B:$B,"平均")</f>
        <v>15</v>
      </c>
      <c r="H22" s="90">
        <f>SUMIFS('0327 4度C'!$I:$I,'0327 4度C'!$A:$A,"新豐3線",'0327 4度C'!$B:$B,"平均")</f>
        <v>9</v>
      </c>
      <c r="I22" s="90">
        <f>SUMIFS('0327 4度C'!$I:$I,'0327 4度C'!$A:$A,"新豐1線",'0327 4度C'!$B:$B,"平均")</f>
        <v>18.857142857142858</v>
      </c>
      <c r="J22" s="91">
        <f>SUMIFS('0327 4度C'!$I:$I,'0327 4度C'!$A:$A,"新豐10線",'0327 4度C'!$B:$B,"平均")</f>
        <v>10.4</v>
      </c>
      <c r="K22" s="89">
        <f>SUMIFS('0327 4度C'!$I:$I,'0327 4度C'!$A:$A,"新豐8線",'0327 4度C'!$B:$B,"平均")</f>
        <v>18.399999999999999</v>
      </c>
      <c r="L22" s="90">
        <f>SUMIFS('0327 4度C'!$I:$I,'0327 4度C'!$A:$A,"新豐9線",'0327 4度C'!$B:$B,"平均")</f>
        <v>17.600000000000001</v>
      </c>
      <c r="M22" s="91">
        <f>SUMIFS('0327 4度C'!$I:$I,'0327 4度C'!$A:$A,"新豐4線",'0327 4度C'!$B:$B,"平均")</f>
        <v>15.4</v>
      </c>
    </row>
    <row r="23" spans="2:13" ht="17.25" customHeight="1">
      <c r="B23" s="103" t="s">
        <v>2351</v>
      </c>
      <c r="C23" s="104"/>
      <c r="D23" s="92" t="s">
        <v>185</v>
      </c>
      <c r="E23" s="93" t="s">
        <v>186</v>
      </c>
      <c r="F23" s="93" t="s">
        <v>2352</v>
      </c>
      <c r="G23" s="93" t="s">
        <v>2352</v>
      </c>
      <c r="H23" s="93" t="s">
        <v>188</v>
      </c>
      <c r="I23" s="93" t="s">
        <v>185</v>
      </c>
      <c r="J23" s="94" t="s">
        <v>188</v>
      </c>
      <c r="K23" s="92" t="s">
        <v>2353</v>
      </c>
      <c r="L23" s="93" t="s">
        <v>2354</v>
      </c>
      <c r="M23" s="94" t="s">
        <v>2354</v>
      </c>
    </row>
    <row r="24" spans="2:13" ht="17.25" customHeight="1">
      <c r="B24" s="103" t="s">
        <v>2355</v>
      </c>
      <c r="C24" s="104"/>
      <c r="D24" s="92"/>
      <c r="E24" s="93"/>
      <c r="F24" s="93" t="s">
        <v>2356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2357</v>
      </c>
      <c r="C25" s="106"/>
      <c r="D25" s="95"/>
      <c r="E25" s="96" t="s">
        <v>2358</v>
      </c>
      <c r="F25" s="99" t="s">
        <v>2359</v>
      </c>
      <c r="G25" s="100"/>
      <c r="H25" s="96" t="s">
        <v>2360</v>
      </c>
      <c r="I25" s="96" t="s">
        <v>2361</v>
      </c>
      <c r="J25" s="97" t="s">
        <v>1189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3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3">
    <pageSetUpPr fitToPage="1"/>
  </sheetPr>
  <dimension ref="A1:AG63"/>
  <sheetViews>
    <sheetView zoomScale="80" zoomScaleNormal="80" workbookViewId="0">
      <pane ySplit="4" topLeftCell="A5" activePane="bottomLeft" state="frozen"/>
      <selection activeCell="A17" sqref="A17"/>
      <selection pane="bottomLeft" activeCell="A13" sqref="A13:A1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2362</v>
      </c>
      <c r="B1" s="1"/>
      <c r="C1" s="2" t="s">
        <v>2363</v>
      </c>
      <c r="D1" s="3">
        <f>SUM(F5:F62)</f>
        <v>131038</v>
      </c>
      <c r="E1" s="4" t="s">
        <v>2364</v>
      </c>
      <c r="F1" s="1">
        <f>SUM(G5:G62)</f>
        <v>4403743.1899999985</v>
      </c>
      <c r="G1" s="1" t="s">
        <v>2365</v>
      </c>
      <c r="H1" s="5">
        <f>L9+L12+L42+L50+L17+L56+L30+L36+L24+L62</f>
        <v>158.90714285714287</v>
      </c>
      <c r="I1" s="212" t="s">
        <v>2366</v>
      </c>
      <c r="J1" s="212"/>
      <c r="K1" s="212"/>
      <c r="L1" s="212" t="s">
        <v>2367</v>
      </c>
      <c r="M1" s="212"/>
      <c r="N1" s="212"/>
      <c r="O1" s="212" t="s">
        <v>2368</v>
      </c>
      <c r="P1" s="212"/>
      <c r="Q1" s="212"/>
      <c r="R1" s="212"/>
      <c r="S1" s="212" t="s">
        <v>2369</v>
      </c>
      <c r="T1" s="212"/>
      <c r="U1" s="212"/>
      <c r="V1" s="212"/>
      <c r="W1" s="212"/>
      <c r="X1" s="212"/>
      <c r="Y1" s="6" t="s">
        <v>2370</v>
      </c>
      <c r="Z1" s="7" t="s">
        <v>2371</v>
      </c>
      <c r="AA1" s="213" t="s">
        <v>2372</v>
      </c>
      <c r="AB1" s="213"/>
      <c r="AC1" s="42" t="s">
        <v>2373</v>
      </c>
      <c r="AD1" s="7" t="s">
        <v>2374</v>
      </c>
      <c r="AE1" s="212" t="s">
        <v>2375</v>
      </c>
      <c r="AF1" s="214"/>
      <c r="AG1" s="214"/>
    </row>
    <row r="2" spans="1:33" ht="26.25" customHeight="1">
      <c r="A2" s="33">
        <v>46108</v>
      </c>
      <c r="B2" s="34" t="s">
        <v>663</v>
      </c>
      <c r="C2" s="2" t="s">
        <v>2376</v>
      </c>
      <c r="D2" s="9">
        <f>AVERAGE(N9,N12,N42,N50,N17,N56,N24,N30,N36,N62)</f>
        <v>148.98370182956086</v>
      </c>
      <c r="E2" s="10" t="s">
        <v>14</v>
      </c>
      <c r="F2" s="11">
        <f>F1/D1</f>
        <v>33.606611746211009</v>
      </c>
      <c r="G2" s="1" t="s">
        <v>2377</v>
      </c>
      <c r="H2" s="12">
        <f>COUNT(H5:H62)</f>
        <v>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SUM(Y9+Y12+Y17+Y24+Y30+Y36+Y42+Y50+Y56+Y62)</f>
        <v>0</v>
      </c>
      <c r="Z2" s="13">
        <f>SUM(Z9+Z12+Z17+Z24+Z30+Z36+Z42+Z50+Z56+Z62)</f>
        <v>0</v>
      </c>
      <c r="AA2" s="213"/>
      <c r="AB2" s="213"/>
      <c r="AC2" s="13">
        <v>48</v>
      </c>
      <c r="AD2" s="13">
        <f>SUM(AD9+AD12+AD17+AD24+AD30+AD36+AD42+AD50+AD56+AD62)</f>
        <v>0</v>
      </c>
      <c r="AE2" s="214"/>
      <c r="AF2" s="214"/>
      <c r="AG2" s="214"/>
    </row>
    <row r="3" spans="1:33" ht="40.5" customHeight="1">
      <c r="A3" s="162" t="s">
        <v>2378</v>
      </c>
      <c r="B3" s="162" t="s">
        <v>2379</v>
      </c>
      <c r="C3" s="162" t="s">
        <v>2380</v>
      </c>
      <c r="D3" s="162"/>
      <c r="E3" s="210" t="s">
        <v>2381</v>
      </c>
      <c r="F3" s="162" t="s">
        <v>2382</v>
      </c>
      <c r="G3" s="210" t="s">
        <v>2383</v>
      </c>
      <c r="H3" s="204" t="s">
        <v>2384</v>
      </c>
      <c r="I3" s="202" t="s">
        <v>2385</v>
      </c>
      <c r="J3" s="199" t="s">
        <v>2386</v>
      </c>
      <c r="K3" s="209" t="s">
        <v>2376</v>
      </c>
      <c r="L3" s="202" t="s">
        <v>2385</v>
      </c>
      <c r="M3" s="199" t="s">
        <v>2386</v>
      </c>
      <c r="N3" s="209" t="s">
        <v>2376</v>
      </c>
      <c r="O3" s="202" t="s">
        <v>2385</v>
      </c>
      <c r="P3" s="209" t="s">
        <v>2376</v>
      </c>
      <c r="Q3" s="200" t="s">
        <v>2387</v>
      </c>
      <c r="R3" s="178" t="s">
        <v>2388</v>
      </c>
      <c r="S3" s="162" t="s">
        <v>27</v>
      </c>
      <c r="T3" s="162"/>
      <c r="U3" s="204" t="s">
        <v>28</v>
      </c>
      <c r="V3" s="204" t="s">
        <v>2389</v>
      </c>
      <c r="W3" s="162" t="s">
        <v>2390</v>
      </c>
      <c r="X3" s="162"/>
      <c r="Y3" s="205" t="s">
        <v>2391</v>
      </c>
      <c r="Z3" s="166"/>
      <c r="AA3" s="206" t="s">
        <v>2392</v>
      </c>
      <c r="AB3" s="207"/>
      <c r="AC3" s="205" t="s">
        <v>2393</v>
      </c>
      <c r="AD3" s="166"/>
      <c r="AE3" s="199" t="s">
        <v>2394</v>
      </c>
      <c r="AF3" s="200" t="s">
        <v>2395</v>
      </c>
      <c r="AG3" s="178" t="s">
        <v>2396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2397</v>
      </c>
      <c r="X4" s="4" t="s">
        <v>2398</v>
      </c>
      <c r="Y4" s="14" t="s">
        <v>2399</v>
      </c>
      <c r="Z4" s="14" t="s">
        <v>2348</v>
      </c>
      <c r="AA4" s="208"/>
      <c r="AB4" s="207"/>
      <c r="AC4" s="14" t="s">
        <v>2400</v>
      </c>
      <c r="AD4" s="14" t="s">
        <v>2401</v>
      </c>
      <c r="AE4" s="199"/>
      <c r="AF4" s="200"/>
      <c r="AG4" s="178"/>
    </row>
    <row r="5" spans="1:33">
      <c r="A5" s="201" t="s">
        <v>2402</v>
      </c>
      <c r="B5" s="35" t="s">
        <v>78</v>
      </c>
      <c r="C5" s="203" t="s">
        <v>79</v>
      </c>
      <c r="D5" s="203"/>
      <c r="E5" s="35">
        <v>50.67</v>
      </c>
      <c r="F5" s="4">
        <v>1321</v>
      </c>
      <c r="G5" s="4">
        <f t="shared" ref="G5:G8" si="0">E5*F5</f>
        <v>66935.070000000007</v>
      </c>
      <c r="H5" s="21" t="s">
        <v>133</v>
      </c>
      <c r="I5" s="15">
        <v>17</v>
      </c>
      <c r="J5" s="17">
        <v>2000</v>
      </c>
      <c r="K5" s="16">
        <f t="shared" ref="K5:K62" si="1">J5/I5</f>
        <v>117.64705882352941</v>
      </c>
      <c r="L5" s="15">
        <v>17</v>
      </c>
      <c r="M5" s="17">
        <f t="shared" ref="M5:M8" si="2">F5/V5*60</f>
        <v>1933.1707317073167</v>
      </c>
      <c r="N5" s="16">
        <f t="shared" ref="N5:N62" si="3">M5/L5</f>
        <v>113.71592539454804</v>
      </c>
      <c r="O5" s="18">
        <f t="shared" ref="O5:O62" si="4">L5-I5</f>
        <v>0</v>
      </c>
      <c r="P5" s="19">
        <f t="shared" ref="P5:P62" si="5">N5-K5</f>
        <v>-3.9311334289813686</v>
      </c>
      <c r="Q5" s="20">
        <f t="shared" ref="Q5:Q62" si="6">N5/K5</f>
        <v>0.9665853658536584</v>
      </c>
      <c r="R5" s="170">
        <f>Q9</f>
        <v>0.96995078451723249</v>
      </c>
      <c r="S5" s="27">
        <v>0.70833333333333337</v>
      </c>
      <c r="T5" s="27">
        <v>0.7368055555555556</v>
      </c>
      <c r="U5" s="4"/>
      <c r="V5" s="21">
        <f t="shared" ref="V5:V8" si="7">(T5-S5)*24*60</f>
        <v>41.000000000000014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49" si="8">M5-J5</f>
        <v>-66.829268292683309</v>
      </c>
      <c r="AF5" s="20">
        <f t="shared" ref="AF5:AF62" si="9">M5/J5</f>
        <v>0.9665853658536584</v>
      </c>
      <c r="AG5" s="170">
        <f>AF9</f>
        <v>0.96995078451723249</v>
      </c>
    </row>
    <row r="6" spans="1:33">
      <c r="A6" s="202" t="s">
        <v>2403</v>
      </c>
      <c r="B6" s="35" t="s">
        <v>78</v>
      </c>
      <c r="C6" s="203" t="s">
        <v>80</v>
      </c>
      <c r="D6" s="203"/>
      <c r="E6" s="35">
        <v>54.09</v>
      </c>
      <c r="F6" s="4">
        <v>1080</v>
      </c>
      <c r="G6" s="4">
        <f t="shared" si="0"/>
        <v>58417.200000000004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1905.8823529411741</v>
      </c>
      <c r="N6" s="16">
        <f t="shared" si="3"/>
        <v>100.30959752321969</v>
      </c>
      <c r="O6" s="18">
        <f t="shared" si="4"/>
        <v>0</v>
      </c>
      <c r="P6" s="19">
        <f t="shared" si="5"/>
        <v>-4.9535603715171419</v>
      </c>
      <c r="Q6" s="20">
        <f t="shared" si="6"/>
        <v>0.95294117647058718</v>
      </c>
      <c r="R6" s="170"/>
      <c r="S6" s="27">
        <v>0.7416666666666667</v>
      </c>
      <c r="T6" s="27">
        <v>0.76527777777777783</v>
      </c>
      <c r="U6" s="4">
        <f t="shared" ref="U6:U8" si="10">IF(S6=TIME(17,0,0),"",(S6-T5)*24*60)</f>
        <v>6.9999999999999751</v>
      </c>
      <c r="V6" s="21">
        <f t="shared" si="7"/>
        <v>34.000000000000043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-94.117647058825924</v>
      </c>
      <c r="AF6" s="20">
        <f t="shared" si="9"/>
        <v>0.95294117647058707</v>
      </c>
      <c r="AG6" s="170"/>
    </row>
    <row r="7" spans="1:33">
      <c r="A7" s="202" t="s">
        <v>2403</v>
      </c>
      <c r="B7" s="35" t="s">
        <v>78</v>
      </c>
      <c r="C7" s="197" t="s">
        <v>82</v>
      </c>
      <c r="D7" s="198"/>
      <c r="E7" s="35">
        <v>50.67</v>
      </c>
      <c r="F7" s="4">
        <v>333</v>
      </c>
      <c r="G7" s="4">
        <f t="shared" si="0"/>
        <v>16873.11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1998.000000000007</v>
      </c>
      <c r="N7" s="16">
        <f t="shared" si="3"/>
        <v>95.14285714285748</v>
      </c>
      <c r="O7" s="18">
        <f t="shared" si="4"/>
        <v>0</v>
      </c>
      <c r="P7" s="19">
        <f t="shared" si="5"/>
        <v>-9.5238095237760945E-2</v>
      </c>
      <c r="Q7" s="20">
        <f t="shared" si="6"/>
        <v>0.99900000000000355</v>
      </c>
      <c r="R7" s="170"/>
      <c r="S7" s="27">
        <v>0.76875000000000004</v>
      </c>
      <c r="T7" s="27">
        <v>0.77569444444444446</v>
      </c>
      <c r="U7" s="4">
        <f t="shared" si="10"/>
        <v>4.9999999999999822</v>
      </c>
      <c r="V7" s="21">
        <f t="shared" si="7"/>
        <v>9.9999999999999645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-1.9999999999929514</v>
      </c>
      <c r="AF7" s="20">
        <f t="shared" si="9"/>
        <v>0.99900000000000355</v>
      </c>
      <c r="AG7" s="170"/>
    </row>
    <row r="8" spans="1:33">
      <c r="A8" s="202" t="s">
        <v>2404</v>
      </c>
      <c r="B8" s="35" t="s">
        <v>78</v>
      </c>
      <c r="C8" s="197" t="s">
        <v>91</v>
      </c>
      <c r="D8" s="198"/>
      <c r="E8" s="35">
        <v>50.67</v>
      </c>
      <c r="F8" s="4">
        <v>1506</v>
      </c>
      <c r="G8" s="4">
        <f t="shared" si="0"/>
        <v>76309.02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1922.553191489362</v>
      </c>
      <c r="N8" s="16">
        <f t="shared" si="3"/>
        <v>128.17021276595747</v>
      </c>
      <c r="O8" s="18">
        <f t="shared" si="4"/>
        <v>0</v>
      </c>
      <c r="P8" s="19">
        <f t="shared" si="5"/>
        <v>-5.16312056737587</v>
      </c>
      <c r="Q8" s="20">
        <f t="shared" si="6"/>
        <v>0.96127659574468094</v>
      </c>
      <c r="R8" s="170"/>
      <c r="S8" s="27">
        <v>0.78125</v>
      </c>
      <c r="T8" s="27">
        <v>0.81388888888888888</v>
      </c>
      <c r="U8" s="4">
        <f t="shared" si="10"/>
        <v>7.9999999999999716</v>
      </c>
      <c r="V8" s="21">
        <f t="shared" si="7"/>
        <v>46.999999999999993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-77.446808510637993</v>
      </c>
      <c r="AF8" s="20">
        <f t="shared" si="9"/>
        <v>0.96127659574468105</v>
      </c>
      <c r="AG8" s="170"/>
    </row>
    <row r="9" spans="1:33">
      <c r="A9" s="202" t="s">
        <v>2404</v>
      </c>
      <c r="B9" s="35" t="s">
        <v>2405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1939.901569034465</v>
      </c>
      <c r="N9" s="16">
        <f t="shared" si="3"/>
        <v>107.77230939080361</v>
      </c>
      <c r="O9" s="18">
        <f t="shared" si="4"/>
        <v>0</v>
      </c>
      <c r="P9" s="19">
        <f t="shared" si="5"/>
        <v>-3.3388017203075009</v>
      </c>
      <c r="Q9" s="20">
        <f t="shared" si="6"/>
        <v>0.96995078451723249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-60.098430965535044</v>
      </c>
      <c r="AF9" s="20">
        <f t="shared" si="9"/>
        <v>0.96995078451723249</v>
      </c>
      <c r="AG9" s="170"/>
    </row>
    <row r="10" spans="1:33" ht="15.75" customHeight="1">
      <c r="A10" s="196" t="s">
        <v>2406</v>
      </c>
      <c r="B10" s="35" t="s">
        <v>84</v>
      </c>
      <c r="C10" s="197" t="s">
        <v>85</v>
      </c>
      <c r="D10" s="198"/>
      <c r="E10" s="35">
        <v>39.619999999999997</v>
      </c>
      <c r="F10" s="4">
        <v>3997</v>
      </c>
      <c r="G10" s="4">
        <f t="shared" ref="G10:G11" si="11">E10*F10</f>
        <v>158361.13999999998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1" si="12">F10/V10*60</f>
        <v>1436.0479041916169</v>
      </c>
      <c r="N10" s="16">
        <f t="shared" si="3"/>
        <v>75.581468641664046</v>
      </c>
      <c r="O10" s="18">
        <f t="shared" si="4"/>
        <v>0</v>
      </c>
      <c r="P10" s="19">
        <f t="shared" si="5"/>
        <v>-3.3658997793885845</v>
      </c>
      <c r="Q10" s="20">
        <f t="shared" si="6"/>
        <v>0.95736526946107792</v>
      </c>
      <c r="R10" s="170">
        <f>Q12</f>
        <v>0.95642699563279443</v>
      </c>
      <c r="S10" s="27">
        <v>0.20833333333333334</v>
      </c>
      <c r="T10" s="27">
        <v>0.32430555555555557</v>
      </c>
      <c r="U10" s="4"/>
      <c r="V10" s="21">
        <f t="shared" ref="V10:V11" si="13">(T10-S10)*24*60</f>
        <v>167</v>
      </c>
      <c r="W10" s="22"/>
      <c r="X10" s="22"/>
      <c r="Y10" s="22"/>
      <c r="Z10" s="22"/>
      <c r="AA10" s="162"/>
      <c r="AB10" s="162"/>
      <c r="AC10" s="24">
        <v>2</v>
      </c>
      <c r="AD10" s="24"/>
      <c r="AE10" s="18">
        <f t="shared" si="8"/>
        <v>-63.952095808383092</v>
      </c>
      <c r="AF10" s="20">
        <f t="shared" si="9"/>
        <v>0.95736526946107792</v>
      </c>
      <c r="AG10" s="170">
        <f>AF12</f>
        <v>0.95642699563279443</v>
      </c>
    </row>
    <row r="11" spans="1:33" ht="15.75" customHeight="1">
      <c r="A11" s="196" t="s">
        <v>2406</v>
      </c>
      <c r="B11" s="35" t="s">
        <v>84</v>
      </c>
      <c r="C11" s="197" t="s">
        <v>86</v>
      </c>
      <c r="D11" s="198"/>
      <c r="E11" s="35">
        <v>39.799999999999997</v>
      </c>
      <c r="F11" s="4">
        <v>6354</v>
      </c>
      <c r="G11" s="4">
        <f t="shared" si="11"/>
        <v>252889.19999999998</v>
      </c>
      <c r="H11" s="21" t="s">
        <v>133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1433.2330827067663</v>
      </c>
      <c r="N11" s="16">
        <f t="shared" si="3"/>
        <v>84.307828394515667</v>
      </c>
      <c r="O11" s="18">
        <f t="shared" si="4"/>
        <v>0</v>
      </c>
      <c r="P11" s="19">
        <f t="shared" si="5"/>
        <v>-3.927465723131391</v>
      </c>
      <c r="Q11" s="20">
        <f t="shared" si="6"/>
        <v>0.95548872180451094</v>
      </c>
      <c r="R11" s="170"/>
      <c r="S11" s="27">
        <v>0.32847222222222222</v>
      </c>
      <c r="T11" s="27">
        <v>0.51319444444444451</v>
      </c>
      <c r="U11" s="4">
        <f t="shared" ref="U11" si="14">IF(S11=TIME(17,0,0),"",(S11-T10)*24*60)</f>
        <v>5.9999999999999787</v>
      </c>
      <c r="V11" s="21">
        <f t="shared" si="13"/>
        <v>266.00000000000011</v>
      </c>
      <c r="W11" s="22"/>
      <c r="X11" s="22"/>
      <c r="Y11" s="22"/>
      <c r="Z11" s="22"/>
      <c r="AA11" s="162"/>
      <c r="AB11" s="162"/>
      <c r="AC11" s="24"/>
      <c r="AD11" s="24"/>
      <c r="AE11" s="18">
        <f t="shared" si="8"/>
        <v>-66.766917293233746</v>
      </c>
      <c r="AF11" s="20">
        <f t="shared" si="9"/>
        <v>0.95548872180451083</v>
      </c>
      <c r="AG11" s="170"/>
    </row>
    <row r="12" spans="1:33" ht="16.5" customHeight="1">
      <c r="A12" s="196" t="s">
        <v>2406</v>
      </c>
      <c r="B12" s="35" t="s">
        <v>2407</v>
      </c>
      <c r="C12" s="171"/>
      <c r="D12" s="171"/>
      <c r="E12" s="36"/>
      <c r="F12" s="17"/>
      <c r="G12" s="17"/>
      <c r="H12" s="4"/>
      <c r="I12" s="29">
        <v>18</v>
      </c>
      <c r="J12" s="17">
        <v>1500</v>
      </c>
      <c r="K12" s="16">
        <f t="shared" si="1"/>
        <v>83.333333333333329</v>
      </c>
      <c r="L12" s="29">
        <v>18</v>
      </c>
      <c r="M12" s="17">
        <f>AVERAGE(M10:M11)</f>
        <v>1434.6404934491916</v>
      </c>
      <c r="N12" s="16">
        <f t="shared" si="3"/>
        <v>79.702249636066199</v>
      </c>
      <c r="O12" s="18">
        <f t="shared" si="4"/>
        <v>0</v>
      </c>
      <c r="P12" s="19">
        <f t="shared" si="5"/>
        <v>-3.6310836972671297</v>
      </c>
      <c r="Q12" s="20">
        <f t="shared" si="6"/>
        <v>0.95642699563279443</v>
      </c>
      <c r="R12" s="170"/>
      <c r="S12" s="27"/>
      <c r="T12" s="27"/>
      <c r="U12" s="16"/>
      <c r="V12" s="21"/>
      <c r="W12" s="16"/>
      <c r="X12" s="16"/>
      <c r="Y12" s="30">
        <f>SUM(Y10:Y11)</f>
        <v>0</v>
      </c>
      <c r="Z12" s="30">
        <f>SUM(Z10:Z11)</f>
        <v>0</v>
      </c>
      <c r="AA12" s="166"/>
      <c r="AB12" s="166"/>
      <c r="AC12" s="30">
        <v>2</v>
      </c>
      <c r="AD12" s="30">
        <f>SUM(AD10:AD11)</f>
        <v>0</v>
      </c>
      <c r="AE12" s="18">
        <f t="shared" si="8"/>
        <v>-65.359506550808419</v>
      </c>
      <c r="AF12" s="20">
        <f t="shared" si="9"/>
        <v>0.95642699563279443</v>
      </c>
      <c r="AG12" s="170"/>
    </row>
    <row r="13" spans="1:33" ht="16.5" customHeight="1">
      <c r="A13" s="194" t="s">
        <v>2408</v>
      </c>
      <c r="B13" s="4" t="s">
        <v>87</v>
      </c>
      <c r="C13" s="190" t="s">
        <v>88</v>
      </c>
      <c r="D13" s="190"/>
      <c r="E13" s="35">
        <v>41</v>
      </c>
      <c r="F13" s="4">
        <v>2113</v>
      </c>
      <c r="G13" s="4">
        <f t="shared" ref="G13:G16" si="15">E13*F13</f>
        <v>86633</v>
      </c>
      <c r="H13" s="21" t="s">
        <v>133</v>
      </c>
      <c r="I13" s="15">
        <v>26</v>
      </c>
      <c r="J13" s="17">
        <v>1500</v>
      </c>
      <c r="K13" s="16">
        <f t="shared" si="1"/>
        <v>57.692307692307693</v>
      </c>
      <c r="L13" s="15">
        <v>26</v>
      </c>
      <c r="M13" s="17">
        <f t="shared" ref="M13:M16" si="16">F13/V13*60</f>
        <v>1440.6818181818187</v>
      </c>
      <c r="N13" s="16">
        <f t="shared" si="3"/>
        <v>55.410839160839181</v>
      </c>
      <c r="O13" s="18">
        <f t="shared" si="4"/>
        <v>0</v>
      </c>
      <c r="P13" s="19">
        <f t="shared" si="5"/>
        <v>-2.2814685314685121</v>
      </c>
      <c r="Q13" s="20">
        <f t="shared" si="6"/>
        <v>0.96045454545454578</v>
      </c>
      <c r="R13" s="170">
        <f>Q17</f>
        <v>0.95246590909090845</v>
      </c>
      <c r="S13" s="27">
        <v>0.20833333333333334</v>
      </c>
      <c r="T13" s="27">
        <v>0.26944444444444443</v>
      </c>
      <c r="U13" s="4"/>
      <c r="V13" s="21">
        <f t="shared" ref="V13:V16" si="17">(T13-S13)*24*60</f>
        <v>87.999999999999972</v>
      </c>
      <c r="W13" s="27"/>
      <c r="X13" s="27"/>
      <c r="Y13" s="27"/>
      <c r="Z13" s="27"/>
      <c r="AA13" s="162"/>
      <c r="AB13" s="162"/>
      <c r="AC13" s="24">
        <v>4</v>
      </c>
      <c r="AD13" s="24"/>
      <c r="AE13" s="18">
        <f t="shared" si="8"/>
        <v>-59.318181818181301</v>
      </c>
      <c r="AF13" s="20">
        <f t="shared" si="9"/>
        <v>0.96045454545454578</v>
      </c>
      <c r="AG13" s="170">
        <f>AF17</f>
        <v>0.95246590909090834</v>
      </c>
    </row>
    <row r="14" spans="1:33" ht="16.5" customHeight="1">
      <c r="A14" s="195" t="s">
        <v>2408</v>
      </c>
      <c r="B14" s="4" t="s">
        <v>78</v>
      </c>
      <c r="C14" s="190" t="s">
        <v>89</v>
      </c>
      <c r="D14" s="190"/>
      <c r="E14" s="35">
        <v>50.98</v>
      </c>
      <c r="F14" s="4">
        <v>2030</v>
      </c>
      <c r="G14" s="4">
        <f t="shared" si="15"/>
        <v>103489.4</v>
      </c>
      <c r="H14" s="21" t="s">
        <v>133</v>
      </c>
      <c r="I14" s="15">
        <v>16</v>
      </c>
      <c r="J14" s="17">
        <v>2000</v>
      </c>
      <c r="K14" s="16">
        <f t="shared" si="1"/>
        <v>125</v>
      </c>
      <c r="L14" s="15">
        <v>16</v>
      </c>
      <c r="M14" s="17">
        <f t="shared" si="16"/>
        <v>1903.125000000002</v>
      </c>
      <c r="N14" s="16">
        <f t="shared" si="3"/>
        <v>118.94531250000013</v>
      </c>
      <c r="O14" s="18">
        <f t="shared" si="4"/>
        <v>0</v>
      </c>
      <c r="P14" s="19">
        <f t="shared" si="5"/>
        <v>-6.0546874999998721</v>
      </c>
      <c r="Q14" s="20">
        <f t="shared" si="6"/>
        <v>0.95156250000000098</v>
      </c>
      <c r="R14" s="170"/>
      <c r="S14" s="27">
        <v>0.70833333333333337</v>
      </c>
      <c r="T14" s="27">
        <v>0.75277777777777777</v>
      </c>
      <c r="U14" s="4" t="str">
        <f t="shared" ref="U14:U16" si="18">IF(S14=TIME(17,0,0),"",(S14-T13)*24*60)</f>
        <v/>
      </c>
      <c r="V14" s="21">
        <f t="shared" si="17"/>
        <v>63.999999999999929</v>
      </c>
      <c r="W14" s="22"/>
      <c r="X14" s="22"/>
      <c r="Y14" s="22"/>
      <c r="Z14" s="22"/>
      <c r="AA14" s="162"/>
      <c r="AB14" s="162"/>
      <c r="AC14" s="24"/>
      <c r="AD14" s="24"/>
      <c r="AE14" s="18">
        <f t="shared" si="8"/>
        <v>-96.874999999997954</v>
      </c>
      <c r="AF14" s="20">
        <f t="shared" si="9"/>
        <v>0.95156250000000098</v>
      </c>
      <c r="AG14" s="170"/>
    </row>
    <row r="15" spans="1:33" ht="16.5" customHeight="1">
      <c r="A15" s="195" t="s">
        <v>2408</v>
      </c>
      <c r="B15" s="4" t="s">
        <v>78</v>
      </c>
      <c r="C15" s="190" t="s">
        <v>83</v>
      </c>
      <c r="D15" s="190"/>
      <c r="E15" s="35">
        <v>50.67</v>
      </c>
      <c r="F15" s="4">
        <v>567</v>
      </c>
      <c r="G15" s="4">
        <f t="shared" si="15"/>
        <v>28729.89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1889.99999999999</v>
      </c>
      <c r="N15" s="16">
        <f t="shared" si="3"/>
        <v>118.12499999999937</v>
      </c>
      <c r="O15" s="18">
        <f t="shared" si="4"/>
        <v>0</v>
      </c>
      <c r="P15" s="19">
        <f t="shared" si="5"/>
        <v>-6.8750000000006253</v>
      </c>
      <c r="Q15" s="20">
        <f t="shared" si="6"/>
        <v>0.94499999999999496</v>
      </c>
      <c r="R15" s="170"/>
      <c r="S15" s="27">
        <v>0.7583333333333333</v>
      </c>
      <c r="T15" s="27">
        <v>0.77083333333333337</v>
      </c>
      <c r="U15" s="4">
        <f t="shared" si="18"/>
        <v>7.9999999999999716</v>
      </c>
      <c r="V15" s="21">
        <f t="shared" si="17"/>
        <v>18.000000000000096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-110.00000000001</v>
      </c>
      <c r="AF15" s="20">
        <f t="shared" si="9"/>
        <v>0.94499999999999496</v>
      </c>
      <c r="AG15" s="170"/>
    </row>
    <row r="16" spans="1:33" ht="16.5" customHeight="1">
      <c r="A16" s="195" t="s">
        <v>2408</v>
      </c>
      <c r="B16" s="4" t="s">
        <v>78</v>
      </c>
      <c r="C16" s="190" t="s">
        <v>90</v>
      </c>
      <c r="D16" s="190"/>
      <c r="E16" s="35">
        <v>50.92</v>
      </c>
      <c r="F16" s="4">
        <v>2037</v>
      </c>
      <c r="G16" s="4">
        <f t="shared" si="15"/>
        <v>103724.04000000001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1909.687500000002</v>
      </c>
      <c r="N16" s="16">
        <f t="shared" si="3"/>
        <v>127.31250000000014</v>
      </c>
      <c r="O16" s="18">
        <f t="shared" si="4"/>
        <v>0</v>
      </c>
      <c r="P16" s="19">
        <f t="shared" si="5"/>
        <v>-6.0208333333332007</v>
      </c>
      <c r="Q16" s="20">
        <f t="shared" si="6"/>
        <v>0.95484375000000099</v>
      </c>
      <c r="R16" s="170"/>
      <c r="S16" s="27">
        <v>0.77569444444444435</v>
      </c>
      <c r="T16" s="27">
        <v>0.82013888888888875</v>
      </c>
      <c r="U16" s="4">
        <f t="shared" si="18"/>
        <v>6.9999999999998153</v>
      </c>
      <c r="V16" s="21">
        <f t="shared" si="17"/>
        <v>63.999999999999929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-90.312499999997954</v>
      </c>
      <c r="AF16" s="20">
        <f t="shared" si="9"/>
        <v>0.95484375000000099</v>
      </c>
      <c r="AG16" s="170"/>
    </row>
    <row r="17" spans="1:33" ht="16.5" customHeight="1">
      <c r="A17" s="195" t="s">
        <v>2408</v>
      </c>
      <c r="B17" s="35" t="s">
        <v>2407</v>
      </c>
      <c r="C17" s="171"/>
      <c r="D17" s="171"/>
      <c r="E17" s="36"/>
      <c r="F17" s="16"/>
      <c r="G17" s="16"/>
      <c r="H17" s="4"/>
      <c r="I17" s="29">
        <v>18.25</v>
      </c>
      <c r="J17" s="17">
        <v>1875</v>
      </c>
      <c r="K17" s="16">
        <f t="shared" si="1"/>
        <v>102.73972602739725</v>
      </c>
      <c r="L17" s="29">
        <v>18.25</v>
      </c>
      <c r="M17" s="17">
        <f>AVERAGE(M13:M16)</f>
        <v>1785.8735795454531</v>
      </c>
      <c r="N17" s="16">
        <f t="shared" si="3"/>
        <v>97.856086550435791</v>
      </c>
      <c r="O17" s="18">
        <f t="shared" si="4"/>
        <v>0</v>
      </c>
      <c r="P17" s="19">
        <f t="shared" si="5"/>
        <v>-4.8836394769614628</v>
      </c>
      <c r="Q17" s="20">
        <f t="shared" si="6"/>
        <v>0.95246590909090845</v>
      </c>
      <c r="R17" s="170"/>
      <c r="S17" s="27"/>
      <c r="T17" s="27"/>
      <c r="U17" s="4"/>
      <c r="V17" s="21"/>
      <c r="W17" s="16"/>
      <c r="X17" s="16"/>
      <c r="Y17" s="30">
        <f>SUM(Y13:Y16)</f>
        <v>0</v>
      </c>
      <c r="Z17" s="30">
        <f>SUM(Z13:Z16)</f>
        <v>0</v>
      </c>
      <c r="AA17" s="166"/>
      <c r="AB17" s="166"/>
      <c r="AC17" s="30">
        <v>4</v>
      </c>
      <c r="AD17" s="30">
        <f>SUM(AD13:AD16)</f>
        <v>0</v>
      </c>
      <c r="AE17" s="18">
        <f t="shared" si="8"/>
        <v>-89.12642045454686</v>
      </c>
      <c r="AF17" s="20">
        <f t="shared" si="9"/>
        <v>0.95246590909090834</v>
      </c>
      <c r="AG17" s="170"/>
    </row>
    <row r="18" spans="1:33" ht="15.75" customHeight="1">
      <c r="A18" s="192" t="s">
        <v>2409</v>
      </c>
      <c r="B18" s="35" t="s">
        <v>78</v>
      </c>
      <c r="C18" s="190" t="s">
        <v>92</v>
      </c>
      <c r="D18" s="190"/>
      <c r="E18" s="35">
        <v>57.73</v>
      </c>
      <c r="F18" s="4">
        <v>2091</v>
      </c>
      <c r="G18" s="4">
        <f t="shared" ref="G18:G23" si="19">E18*F18</f>
        <v>120713.43</v>
      </c>
      <c r="H18" s="21" t="s">
        <v>133</v>
      </c>
      <c r="I18" s="15">
        <v>14</v>
      </c>
      <c r="J18" s="17">
        <v>2000</v>
      </c>
      <c r="K18" s="16">
        <f t="shared" si="1"/>
        <v>142.85714285714286</v>
      </c>
      <c r="L18" s="15">
        <v>14</v>
      </c>
      <c r="M18" s="17">
        <f t="shared" ref="M18:M23" si="20">F18/V18*60</f>
        <v>1930.1538461538471</v>
      </c>
      <c r="N18" s="16">
        <f t="shared" si="3"/>
        <v>137.86813186813194</v>
      </c>
      <c r="O18" s="18">
        <f t="shared" si="4"/>
        <v>0</v>
      </c>
      <c r="P18" s="19">
        <f t="shared" si="5"/>
        <v>-4.9890109890109215</v>
      </c>
      <c r="Q18" s="20">
        <f t="shared" si="6"/>
        <v>0.9650769230769235</v>
      </c>
      <c r="R18" s="170">
        <f>Q24</f>
        <v>0.96118936686780965</v>
      </c>
      <c r="S18" s="27">
        <v>0.20833333333333334</v>
      </c>
      <c r="T18" s="27">
        <v>0.25347222222222221</v>
      </c>
      <c r="U18" s="4"/>
      <c r="V18" s="21">
        <f t="shared" ref="V18:V23" si="21">(T18-S18)*24*60</f>
        <v>64.999999999999972</v>
      </c>
      <c r="W18" s="27"/>
      <c r="X18" s="27"/>
      <c r="Y18" s="27"/>
      <c r="Z18" s="27"/>
      <c r="AA18" s="162"/>
      <c r="AB18" s="162"/>
      <c r="AC18" s="24">
        <v>6</v>
      </c>
      <c r="AD18" s="24"/>
      <c r="AE18" s="18">
        <f t="shared" si="8"/>
        <v>-69.846153846152902</v>
      </c>
      <c r="AF18" s="20">
        <f t="shared" si="9"/>
        <v>0.9650769230769235</v>
      </c>
      <c r="AG18" s="170">
        <f>AF24</f>
        <v>0.96118936686780965</v>
      </c>
    </row>
    <row r="19" spans="1:33" ht="15.75" customHeight="1">
      <c r="A19" s="193" t="s">
        <v>2410</v>
      </c>
      <c r="B19" s="35" t="s">
        <v>78</v>
      </c>
      <c r="C19" s="190" t="s">
        <v>93</v>
      </c>
      <c r="D19" s="190"/>
      <c r="E19" s="35">
        <v>53.68</v>
      </c>
      <c r="F19" s="4">
        <v>1108</v>
      </c>
      <c r="G19" s="4">
        <f t="shared" si="19"/>
        <v>59477.440000000002</v>
      </c>
      <c r="H19" s="21" t="s">
        <v>133</v>
      </c>
      <c r="I19" s="15">
        <v>16</v>
      </c>
      <c r="J19" s="17">
        <v>2000</v>
      </c>
      <c r="K19" s="16">
        <f t="shared" si="1"/>
        <v>125</v>
      </c>
      <c r="L19" s="15">
        <v>16</v>
      </c>
      <c r="M19" s="17">
        <f t="shared" si="20"/>
        <v>1955.2941176470565</v>
      </c>
      <c r="N19" s="16">
        <f t="shared" si="3"/>
        <v>122.20588235294103</v>
      </c>
      <c r="O19" s="18">
        <f t="shared" si="4"/>
        <v>0</v>
      </c>
      <c r="P19" s="19">
        <f t="shared" si="5"/>
        <v>-2.7941176470589681</v>
      </c>
      <c r="Q19" s="20">
        <f t="shared" si="6"/>
        <v>0.9776470588235282</v>
      </c>
      <c r="R19" s="170"/>
      <c r="S19" s="27">
        <v>0.25763888888888886</v>
      </c>
      <c r="T19" s="27">
        <v>0.28125</v>
      </c>
      <c r="U19" s="4">
        <f t="shared" ref="U19:U23" si="22">IF(S19=TIME(17,0,0),"",(S19-T18)*24*60)</f>
        <v>5.9999999999999787</v>
      </c>
      <c r="V19" s="21">
        <f t="shared" si="21"/>
        <v>34.000000000000043</v>
      </c>
      <c r="W19" s="22"/>
      <c r="X19" s="4"/>
      <c r="Y19" s="4"/>
      <c r="Z19" s="4"/>
      <c r="AA19" s="162"/>
      <c r="AB19" s="162"/>
      <c r="AC19" s="24"/>
      <c r="AD19" s="24"/>
      <c r="AE19" s="18">
        <f t="shared" si="8"/>
        <v>-44.70588235294349</v>
      </c>
      <c r="AF19" s="20">
        <f t="shared" si="9"/>
        <v>0.9776470588235282</v>
      </c>
      <c r="AG19" s="170"/>
    </row>
    <row r="20" spans="1:33" ht="15.75" customHeight="1">
      <c r="A20" s="193" t="s">
        <v>2411</v>
      </c>
      <c r="B20" s="35" t="s">
        <v>78</v>
      </c>
      <c r="C20" s="190" t="s">
        <v>2127</v>
      </c>
      <c r="D20" s="190"/>
      <c r="E20" s="35">
        <v>50.67</v>
      </c>
      <c r="F20" s="4">
        <v>2483</v>
      </c>
      <c r="G20" s="4">
        <f t="shared" si="19"/>
        <v>125813.61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1909.9999999999989</v>
      </c>
      <c r="N20" s="16">
        <f t="shared" si="3"/>
        <v>119.37499999999993</v>
      </c>
      <c r="O20" s="18">
        <f t="shared" si="4"/>
        <v>0</v>
      </c>
      <c r="P20" s="19">
        <f t="shared" si="5"/>
        <v>-5.6250000000000711</v>
      </c>
      <c r="Q20" s="20">
        <f t="shared" si="6"/>
        <v>0.9549999999999994</v>
      </c>
      <c r="R20" s="170"/>
      <c r="S20" s="27">
        <v>0.28472222222222221</v>
      </c>
      <c r="T20" s="27">
        <v>0.33888888888888891</v>
      </c>
      <c r="U20" s="4">
        <f t="shared" si="22"/>
        <v>4.9999999999999822</v>
      </c>
      <c r="V20" s="21">
        <f t="shared" si="21"/>
        <v>78.000000000000043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-90.000000000001137</v>
      </c>
      <c r="AF20" s="20">
        <f t="shared" si="9"/>
        <v>0.9549999999999994</v>
      </c>
      <c r="AG20" s="170"/>
    </row>
    <row r="21" spans="1:33" ht="15.75" customHeight="1">
      <c r="A21" s="193" t="s">
        <v>2410</v>
      </c>
      <c r="B21" s="35" t="s">
        <v>78</v>
      </c>
      <c r="C21" s="190" t="s">
        <v>94</v>
      </c>
      <c r="D21" s="190"/>
      <c r="E21" s="35">
        <v>50.49</v>
      </c>
      <c r="F21" s="4">
        <v>1711</v>
      </c>
      <c r="G21" s="4">
        <f t="shared" si="19"/>
        <v>86388.39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1901.111111111112</v>
      </c>
      <c r="N21" s="16">
        <f t="shared" si="3"/>
        <v>126.7407407407408</v>
      </c>
      <c r="O21" s="18">
        <f t="shared" si="4"/>
        <v>0</v>
      </c>
      <c r="P21" s="19">
        <f t="shared" si="5"/>
        <v>-6.5925925925925384</v>
      </c>
      <c r="Q21" s="20">
        <f t="shared" si="6"/>
        <v>0.95055555555555593</v>
      </c>
      <c r="R21" s="170"/>
      <c r="S21" s="27">
        <v>0.70833333333333337</v>
      </c>
      <c r="T21" s="27">
        <v>0.74583333333333335</v>
      </c>
      <c r="U21" s="4" t="str">
        <f t="shared" si="22"/>
        <v/>
      </c>
      <c r="V21" s="21">
        <f t="shared" si="21"/>
        <v>53.999999999999972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-98.888888888888005</v>
      </c>
      <c r="AF21" s="20">
        <f t="shared" si="9"/>
        <v>0.95055555555555604</v>
      </c>
      <c r="AG21" s="170"/>
    </row>
    <row r="22" spans="1:33" ht="15.75" customHeight="1">
      <c r="A22" s="193" t="s">
        <v>2410</v>
      </c>
      <c r="B22" s="35" t="s">
        <v>78</v>
      </c>
      <c r="C22" s="190" t="s">
        <v>96</v>
      </c>
      <c r="D22" s="190"/>
      <c r="E22" s="35">
        <v>57.3</v>
      </c>
      <c r="F22" s="4">
        <v>1528</v>
      </c>
      <c r="G22" s="4">
        <f t="shared" si="19"/>
        <v>87554.4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1910.0000000000005</v>
      </c>
      <c r="N22" s="16">
        <f t="shared" si="3"/>
        <v>146.92307692307696</v>
      </c>
      <c r="O22" s="18">
        <f t="shared" si="4"/>
        <v>0</v>
      </c>
      <c r="P22" s="19">
        <f t="shared" si="5"/>
        <v>-6.9230769230768772</v>
      </c>
      <c r="Q22" s="20">
        <f t="shared" si="6"/>
        <v>0.95500000000000029</v>
      </c>
      <c r="R22" s="170"/>
      <c r="S22" s="27">
        <v>0.75138888888888888</v>
      </c>
      <c r="T22" s="27">
        <v>0.78472222222222221</v>
      </c>
      <c r="U22" s="4">
        <f t="shared" si="22"/>
        <v>7.9999999999999716</v>
      </c>
      <c r="V22" s="21">
        <f t="shared" si="21"/>
        <v>47.999999999999986</v>
      </c>
      <c r="W22" s="22"/>
      <c r="X22" s="22"/>
      <c r="Y22" s="4"/>
      <c r="Z22" s="4"/>
      <c r="AA22" s="162"/>
      <c r="AB22" s="162"/>
      <c r="AC22" s="24"/>
      <c r="AD22" s="24"/>
      <c r="AE22" s="18">
        <f t="shared" si="8"/>
        <v>-89.999999999999545</v>
      </c>
      <c r="AF22" s="20">
        <f t="shared" si="9"/>
        <v>0.95500000000000018</v>
      </c>
      <c r="AG22" s="170"/>
    </row>
    <row r="23" spans="1:33" ht="15.75" customHeight="1">
      <c r="A23" s="193" t="s">
        <v>2410</v>
      </c>
      <c r="B23" s="35" t="s">
        <v>78</v>
      </c>
      <c r="C23" s="190" t="s">
        <v>95</v>
      </c>
      <c r="D23" s="190"/>
      <c r="E23" s="35">
        <v>53.68</v>
      </c>
      <c r="F23" s="4">
        <v>1423</v>
      </c>
      <c r="G23" s="4">
        <f t="shared" si="19"/>
        <v>76386.64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1447.1186440677977</v>
      </c>
      <c r="N23" s="16">
        <f t="shared" si="3"/>
        <v>90.444915254237358</v>
      </c>
      <c r="O23" s="18">
        <f t="shared" si="4"/>
        <v>0</v>
      </c>
      <c r="P23" s="19">
        <f t="shared" si="5"/>
        <v>-3.3050847457626418</v>
      </c>
      <c r="Q23" s="20">
        <f t="shared" si="6"/>
        <v>0.96474576271186518</v>
      </c>
      <c r="R23" s="170"/>
      <c r="S23" s="27">
        <v>0.79027777777777775</v>
      </c>
      <c r="T23" s="27">
        <v>0.83124999999999993</v>
      </c>
      <c r="U23" s="4">
        <f t="shared" si="22"/>
        <v>7.9999999999999716</v>
      </c>
      <c r="V23" s="21">
        <f t="shared" si="21"/>
        <v>58.99999999999995</v>
      </c>
      <c r="W23" s="22"/>
      <c r="X23" s="27"/>
      <c r="Y23" s="27"/>
      <c r="Z23" s="27"/>
      <c r="AA23" s="162"/>
      <c r="AB23" s="162"/>
      <c r="AC23" s="24"/>
      <c r="AD23" s="24"/>
      <c r="AE23" s="18">
        <f t="shared" si="8"/>
        <v>-52.881355932202268</v>
      </c>
      <c r="AF23" s="20">
        <f t="shared" si="9"/>
        <v>0.96474576271186518</v>
      </c>
      <c r="AG23" s="170"/>
    </row>
    <row r="24" spans="1:33" ht="15.75" customHeight="1">
      <c r="A24" s="193" t="s">
        <v>2410</v>
      </c>
      <c r="B24" s="35" t="s">
        <v>2407</v>
      </c>
      <c r="C24" s="171"/>
      <c r="D24" s="171"/>
      <c r="E24" s="36"/>
      <c r="F24" s="4"/>
      <c r="G24" s="4"/>
      <c r="H24" s="4"/>
      <c r="I24" s="29">
        <v>15</v>
      </c>
      <c r="J24" s="17">
        <v>1916.6666666666667</v>
      </c>
      <c r="K24" s="16">
        <f t="shared" si="1"/>
        <v>127.77777777777779</v>
      </c>
      <c r="L24" s="29">
        <v>15</v>
      </c>
      <c r="M24" s="17">
        <f>AVERAGE(M18:M23)</f>
        <v>1842.2796198299686</v>
      </c>
      <c r="N24" s="16">
        <f t="shared" si="3"/>
        <v>122.8186413219979</v>
      </c>
      <c r="O24" s="18">
        <f t="shared" si="4"/>
        <v>0</v>
      </c>
      <c r="P24" s="19">
        <f t="shared" si="5"/>
        <v>-4.959136455779884</v>
      </c>
      <c r="Q24" s="20">
        <f t="shared" si="6"/>
        <v>0.96118936686780965</v>
      </c>
      <c r="R24" s="170"/>
      <c r="S24" s="27"/>
      <c r="T24" s="27"/>
      <c r="U24" s="16"/>
      <c r="V24" s="21"/>
      <c r="W24" s="16"/>
      <c r="X24" s="16"/>
      <c r="Y24" s="30">
        <f>SUM(Y18:Y23)</f>
        <v>0</v>
      </c>
      <c r="Z24" s="30">
        <f>SUM(Z18:Z23)</f>
        <v>0</v>
      </c>
      <c r="AA24" s="166"/>
      <c r="AB24" s="166"/>
      <c r="AC24" s="30">
        <v>6</v>
      </c>
      <c r="AD24" s="30">
        <f>SUM(AD18:AD23)</f>
        <v>0</v>
      </c>
      <c r="AE24" s="18">
        <f t="shared" si="8"/>
        <v>-74.387046836698119</v>
      </c>
      <c r="AF24" s="20">
        <f t="shared" si="9"/>
        <v>0.96118936686780965</v>
      </c>
      <c r="AG24" s="170"/>
    </row>
    <row r="25" spans="1:33" ht="15.75" customHeight="1">
      <c r="A25" s="191" t="s">
        <v>2412</v>
      </c>
      <c r="B25" s="35" t="s">
        <v>97</v>
      </c>
      <c r="C25" s="190" t="s">
        <v>98</v>
      </c>
      <c r="D25" s="190"/>
      <c r="E25" s="35">
        <v>31.29</v>
      </c>
      <c r="F25" s="4">
        <v>7575</v>
      </c>
      <c r="G25" s="4">
        <f t="shared" ref="G25:G29" si="23">E25*F25</f>
        <v>237021.75</v>
      </c>
      <c r="H25" s="21" t="s">
        <v>133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29" si="24">F25/V25*60</f>
        <v>2283.91959798995</v>
      </c>
      <c r="N25" s="16">
        <f t="shared" si="3"/>
        <v>126.88442211055278</v>
      </c>
      <c r="O25" s="18">
        <f t="shared" si="4"/>
        <v>0</v>
      </c>
      <c r="P25" s="19">
        <f t="shared" si="5"/>
        <v>-6.4489112227805663</v>
      </c>
      <c r="Q25" s="20">
        <f t="shared" si="6"/>
        <v>0.95163316582914581</v>
      </c>
      <c r="R25" s="170">
        <f>Q30</f>
        <v>0.9607403499959547</v>
      </c>
      <c r="S25" s="27">
        <v>8.3333333333333329E-2</v>
      </c>
      <c r="T25" s="27">
        <v>0.22152777777777777</v>
      </c>
      <c r="U25" s="4"/>
      <c r="V25" s="21">
        <f t="shared" ref="V25:V29" si="25">(T25-S25)*24*60</f>
        <v>199</v>
      </c>
      <c r="W25" s="22">
        <f>T25</f>
        <v>0.22152777777777777</v>
      </c>
      <c r="X25" s="22">
        <f>S26</f>
        <v>0.23888888888888885</v>
      </c>
      <c r="Y25" s="22"/>
      <c r="Z25" s="22"/>
      <c r="AA25" s="162"/>
      <c r="AB25" s="162"/>
      <c r="AC25" s="24">
        <v>5</v>
      </c>
      <c r="AD25" s="24"/>
      <c r="AE25" s="18">
        <f t="shared" si="8"/>
        <v>-116.08040201004997</v>
      </c>
      <c r="AF25" s="20">
        <f t="shared" si="9"/>
        <v>0.95163316582914581</v>
      </c>
      <c r="AG25" s="170">
        <f>AF30</f>
        <v>0.96074034999595459</v>
      </c>
    </row>
    <row r="26" spans="1:33" ht="15.75" customHeight="1">
      <c r="A26" s="191" t="s">
        <v>2412</v>
      </c>
      <c r="B26" s="35" t="s">
        <v>97</v>
      </c>
      <c r="C26" s="190" t="s">
        <v>99</v>
      </c>
      <c r="D26" s="190"/>
      <c r="E26" s="35">
        <v>25.98</v>
      </c>
      <c r="F26" s="4">
        <v>2505</v>
      </c>
      <c r="G26" s="4">
        <f t="shared" si="23"/>
        <v>65079.9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2312.3076923076933</v>
      </c>
      <c r="N26" s="16">
        <f t="shared" si="3"/>
        <v>110.10989010989016</v>
      </c>
      <c r="O26" s="18">
        <f t="shared" si="4"/>
        <v>0</v>
      </c>
      <c r="P26" s="19">
        <f t="shared" si="5"/>
        <v>-4.1758241758241326</v>
      </c>
      <c r="Q26" s="20">
        <f t="shared" si="6"/>
        <v>0.96346153846153881</v>
      </c>
      <c r="R26" s="170"/>
      <c r="S26" s="27">
        <v>0.23888888888888885</v>
      </c>
      <c r="T26" s="27">
        <v>0.28402777777777771</v>
      </c>
      <c r="U26" s="4">
        <f t="shared" ref="U26:U29" si="26">(S26-T25)*24*60</f>
        <v>24.99999999999995</v>
      </c>
      <c r="V26" s="21">
        <f t="shared" si="25"/>
        <v>64.999999999999972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-87.692307692306713</v>
      </c>
      <c r="AF26" s="20">
        <f t="shared" si="9"/>
        <v>0.96346153846153892</v>
      </c>
      <c r="AG26" s="170"/>
    </row>
    <row r="27" spans="1:33" ht="15.75" customHeight="1">
      <c r="A27" s="191" t="s">
        <v>2412</v>
      </c>
      <c r="B27" s="35" t="s">
        <v>97</v>
      </c>
      <c r="C27" s="190" t="s">
        <v>100</v>
      </c>
      <c r="D27" s="190"/>
      <c r="E27" s="35">
        <v>26.2</v>
      </c>
      <c r="F27" s="4">
        <v>4334</v>
      </c>
      <c r="G27" s="4">
        <f t="shared" si="23"/>
        <v>113550.8</v>
      </c>
      <c r="H27" s="21" t="s">
        <v>133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2281.0526315789475</v>
      </c>
      <c r="N27" s="16">
        <f t="shared" si="3"/>
        <v>114.05263157894737</v>
      </c>
      <c r="O27" s="18">
        <f t="shared" si="4"/>
        <v>0</v>
      </c>
      <c r="P27" s="19">
        <f t="shared" si="5"/>
        <v>-5.9473684210526301</v>
      </c>
      <c r="Q27" s="20">
        <f t="shared" si="6"/>
        <v>0.95043859649122808</v>
      </c>
      <c r="R27" s="170"/>
      <c r="S27" s="27">
        <v>0.28888888888888881</v>
      </c>
      <c r="T27" s="27">
        <v>0.36805555555555547</v>
      </c>
      <c r="U27" s="4">
        <f t="shared" si="26"/>
        <v>6.9999999999999751</v>
      </c>
      <c r="V27" s="21">
        <f t="shared" si="25"/>
        <v>114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-118.94736842105249</v>
      </c>
      <c r="AF27" s="20">
        <f t="shared" si="9"/>
        <v>0.95043859649122808</v>
      </c>
      <c r="AG27" s="170"/>
    </row>
    <row r="28" spans="1:33" ht="15.75" customHeight="1">
      <c r="A28" s="191" t="s">
        <v>2413</v>
      </c>
      <c r="B28" s="35" t="s">
        <v>97</v>
      </c>
      <c r="C28" s="190" t="s">
        <v>101</v>
      </c>
      <c r="D28" s="190"/>
      <c r="E28" s="35">
        <v>25.99</v>
      </c>
      <c r="F28" s="4">
        <v>3380</v>
      </c>
      <c r="G28" s="4">
        <f t="shared" si="23"/>
        <v>87846.2</v>
      </c>
      <c r="H28" s="21" t="s">
        <v>133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2304.5454545454545</v>
      </c>
      <c r="N28" s="16">
        <f t="shared" si="3"/>
        <v>164.6103896103896</v>
      </c>
      <c r="O28" s="18">
        <f t="shared" si="4"/>
        <v>0</v>
      </c>
      <c r="P28" s="19">
        <f t="shared" si="5"/>
        <v>-6.818181818181813</v>
      </c>
      <c r="Q28" s="20">
        <f t="shared" si="6"/>
        <v>0.96022727272727271</v>
      </c>
      <c r="R28" s="170"/>
      <c r="S28" s="27">
        <v>0.37361111111111101</v>
      </c>
      <c r="T28" s="27">
        <v>0.43472222222222212</v>
      </c>
      <c r="U28" s="4">
        <f t="shared" si="26"/>
        <v>7.9999999999999716</v>
      </c>
      <c r="V28" s="21">
        <f t="shared" si="25"/>
        <v>88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-95.454545454545496</v>
      </c>
      <c r="AF28" s="20">
        <f t="shared" si="9"/>
        <v>0.96022727272727271</v>
      </c>
      <c r="AG28" s="170"/>
    </row>
    <row r="29" spans="1:33" ht="15.75" customHeight="1">
      <c r="A29" s="191" t="s">
        <v>2412</v>
      </c>
      <c r="B29" s="35" t="s">
        <v>97</v>
      </c>
      <c r="C29" s="190" t="s">
        <v>102</v>
      </c>
      <c r="D29" s="190"/>
      <c r="E29" s="35">
        <v>26.18</v>
      </c>
      <c r="F29" s="4">
        <v>1330</v>
      </c>
      <c r="G29" s="4">
        <f t="shared" si="23"/>
        <v>34819.4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2347.058823529409</v>
      </c>
      <c r="N29" s="16">
        <f t="shared" si="3"/>
        <v>123.52941176470574</v>
      </c>
      <c r="O29" s="18">
        <f t="shared" si="4"/>
        <v>0</v>
      </c>
      <c r="P29" s="19">
        <f t="shared" si="5"/>
        <v>-2.7863777089784634</v>
      </c>
      <c r="Q29" s="20">
        <f t="shared" si="6"/>
        <v>0.9779411764705872</v>
      </c>
      <c r="R29" s="170"/>
      <c r="S29" s="27">
        <v>0.43888888888888877</v>
      </c>
      <c r="T29" s="27">
        <v>0.46249999999999991</v>
      </c>
      <c r="U29" s="4">
        <f t="shared" si="26"/>
        <v>5.9999999999999787</v>
      </c>
      <c r="V29" s="21">
        <f t="shared" si="25"/>
        <v>34.000000000000043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-52.941176470591017</v>
      </c>
      <c r="AF29" s="20">
        <f t="shared" si="9"/>
        <v>0.97794117647058709</v>
      </c>
      <c r="AG29" s="170"/>
    </row>
    <row r="30" spans="1:33" ht="15.75" customHeight="1">
      <c r="A30" s="191" t="s">
        <v>2412</v>
      </c>
      <c r="B30" s="35" t="s">
        <v>2414</v>
      </c>
      <c r="C30" s="171"/>
      <c r="D30" s="171"/>
      <c r="E30" s="36"/>
      <c r="F30" s="4"/>
      <c r="G30" s="4"/>
      <c r="H30" s="4"/>
      <c r="I30" s="29">
        <v>18.399999999999999</v>
      </c>
      <c r="J30" s="17">
        <v>2400</v>
      </c>
      <c r="K30" s="16">
        <f t="shared" si="1"/>
        <v>130.43478260869566</v>
      </c>
      <c r="L30" s="29">
        <v>18.399999999999999</v>
      </c>
      <c r="M30" s="17">
        <f>AVERAGE(M25:M29)</f>
        <v>2305.7768399902911</v>
      </c>
      <c r="N30" s="16">
        <f t="shared" si="3"/>
        <v>125.31395869512453</v>
      </c>
      <c r="O30" s="18">
        <f t="shared" si="4"/>
        <v>0</v>
      </c>
      <c r="P30" s="19">
        <f t="shared" si="5"/>
        <v>-5.1208239135711295</v>
      </c>
      <c r="Q30" s="20">
        <f t="shared" si="6"/>
        <v>0.9607403499959547</v>
      </c>
      <c r="R30" s="170"/>
      <c r="S30" s="27"/>
      <c r="T30" s="27"/>
      <c r="U30" s="4"/>
      <c r="V30" s="21"/>
      <c r="W30" s="4"/>
      <c r="X30" s="4"/>
      <c r="Y30" s="30">
        <f>SUM(Y25:Y29)</f>
        <v>0</v>
      </c>
      <c r="Z30" s="30">
        <f>SUM(Z25:Z29)</f>
        <v>0</v>
      </c>
      <c r="AA30" s="166"/>
      <c r="AB30" s="166"/>
      <c r="AC30" s="30">
        <v>5</v>
      </c>
      <c r="AD30" s="30">
        <f>SUM(AD25:AD29)</f>
        <v>0</v>
      </c>
      <c r="AE30" s="18">
        <f t="shared" si="8"/>
        <v>-94.223160009708863</v>
      </c>
      <c r="AF30" s="20">
        <f t="shared" si="9"/>
        <v>0.96074034999595459</v>
      </c>
      <c r="AG30" s="170"/>
    </row>
    <row r="31" spans="1:33" ht="15.75" customHeight="1">
      <c r="A31" s="188" t="s">
        <v>2415</v>
      </c>
      <c r="B31" s="35" t="s">
        <v>97</v>
      </c>
      <c r="C31" s="163" t="s">
        <v>103</v>
      </c>
      <c r="D31" s="163"/>
      <c r="E31" s="35">
        <v>26.2</v>
      </c>
      <c r="F31" s="4">
        <v>5529</v>
      </c>
      <c r="G31" s="4">
        <f t="shared" ref="G31:G35" si="27">E31*F31</f>
        <v>144859.79999999999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ref="M31:M35" si="28">F31/V31*60</f>
        <v>2287.8620689655172</v>
      </c>
      <c r="N31" s="16">
        <f t="shared" si="3"/>
        <v>127.10344827586206</v>
      </c>
      <c r="O31" s="18">
        <f t="shared" si="4"/>
        <v>0</v>
      </c>
      <c r="P31" s="19">
        <f t="shared" si="5"/>
        <v>-6.2298850574712787</v>
      </c>
      <c r="Q31" s="20">
        <f t="shared" si="6"/>
        <v>0.95327586206896542</v>
      </c>
      <c r="R31" s="170">
        <f>Q36</f>
        <v>0.9552460260046467</v>
      </c>
      <c r="S31" s="27">
        <v>8.3333333333333329E-2</v>
      </c>
      <c r="T31" s="27">
        <v>0.18402777777777776</v>
      </c>
      <c r="U31" s="4"/>
      <c r="V31" s="21">
        <f t="shared" ref="V31:V35" si="29">(T31-S31)*24*60</f>
        <v>145</v>
      </c>
      <c r="W31" s="27">
        <f>T31</f>
        <v>0.18402777777777776</v>
      </c>
      <c r="X31" s="27">
        <f>S32</f>
        <v>0.2048611111111111</v>
      </c>
      <c r="Y31" s="27"/>
      <c r="Z31" s="27"/>
      <c r="AA31" s="162"/>
      <c r="AB31" s="162"/>
      <c r="AC31" s="24">
        <v>5</v>
      </c>
      <c r="AD31" s="24"/>
      <c r="AE31" s="18">
        <f t="shared" si="8"/>
        <v>-112.13793103448279</v>
      </c>
      <c r="AF31" s="20">
        <f t="shared" si="9"/>
        <v>0.95327586206896553</v>
      </c>
      <c r="AG31" s="170">
        <f>AF36</f>
        <v>0.95524602600464659</v>
      </c>
    </row>
    <row r="32" spans="1:33" ht="15.75" customHeight="1">
      <c r="A32" s="188" t="s">
        <v>2415</v>
      </c>
      <c r="B32" s="35" t="s">
        <v>97</v>
      </c>
      <c r="C32" s="163" t="s">
        <v>104</v>
      </c>
      <c r="D32" s="163"/>
      <c r="E32" s="35">
        <v>20.52</v>
      </c>
      <c r="F32" s="4">
        <v>2942</v>
      </c>
      <c r="G32" s="4">
        <f t="shared" si="27"/>
        <v>60369.84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8"/>
        <v>2292.4675324675336</v>
      </c>
      <c r="N32" s="16">
        <f t="shared" si="3"/>
        <v>127.35930735930742</v>
      </c>
      <c r="O32" s="18">
        <f t="shared" si="4"/>
        <v>0</v>
      </c>
      <c r="P32" s="19">
        <f t="shared" si="5"/>
        <v>-5.9740259740259205</v>
      </c>
      <c r="Q32" s="20">
        <f t="shared" si="6"/>
        <v>0.9551948051948056</v>
      </c>
      <c r="R32" s="170"/>
      <c r="S32" s="27">
        <v>0.2048611111111111</v>
      </c>
      <c r="T32" s="27">
        <v>0.2583333333333333</v>
      </c>
      <c r="U32" s="4">
        <f t="shared" ref="U32:U35" si="30">(S32-T31)*24*60</f>
        <v>30.000000000000014</v>
      </c>
      <c r="V32" s="21">
        <f t="shared" si="29"/>
        <v>76.999999999999972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-107.5324675324664</v>
      </c>
      <c r="AF32" s="20">
        <f t="shared" si="9"/>
        <v>0.95519480519480571</v>
      </c>
      <c r="AG32" s="170"/>
    </row>
    <row r="33" spans="1:33">
      <c r="A33" s="189" t="s">
        <v>2415</v>
      </c>
      <c r="B33" s="35" t="s">
        <v>97</v>
      </c>
      <c r="C33" s="163" t="s">
        <v>105</v>
      </c>
      <c r="D33" s="163"/>
      <c r="E33" s="35">
        <v>26.39</v>
      </c>
      <c r="F33" s="4">
        <v>4956</v>
      </c>
      <c r="G33" s="4">
        <f t="shared" si="27"/>
        <v>130788.84</v>
      </c>
      <c r="H33" s="21" t="s">
        <v>133</v>
      </c>
      <c r="I33" s="15">
        <v>19</v>
      </c>
      <c r="J33" s="17">
        <v>2400</v>
      </c>
      <c r="K33" s="16">
        <f t="shared" si="1"/>
        <v>126.31578947368421</v>
      </c>
      <c r="L33" s="15">
        <v>19</v>
      </c>
      <c r="M33" s="17">
        <f t="shared" si="28"/>
        <v>2287.3846153846148</v>
      </c>
      <c r="N33" s="16">
        <f t="shared" si="3"/>
        <v>120.38866396761131</v>
      </c>
      <c r="O33" s="18">
        <f t="shared" si="4"/>
        <v>0</v>
      </c>
      <c r="P33" s="19">
        <f t="shared" si="5"/>
        <v>-5.9271255060728976</v>
      </c>
      <c r="Q33" s="20">
        <f t="shared" si="6"/>
        <v>0.95307692307692293</v>
      </c>
      <c r="R33" s="170"/>
      <c r="S33" s="27">
        <v>0.26180555555555551</v>
      </c>
      <c r="T33" s="27">
        <v>0.3520833333333333</v>
      </c>
      <c r="U33" s="4">
        <f t="shared" si="30"/>
        <v>4.9999999999999822</v>
      </c>
      <c r="V33" s="21">
        <f t="shared" si="29"/>
        <v>130.00000000000003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-112.61538461538521</v>
      </c>
      <c r="AF33" s="20">
        <f t="shared" si="9"/>
        <v>0.95307692307692282</v>
      </c>
      <c r="AG33" s="170"/>
    </row>
    <row r="34" spans="1:33">
      <c r="A34" s="189" t="s">
        <v>2415</v>
      </c>
      <c r="B34" s="35" t="s">
        <v>97</v>
      </c>
      <c r="C34" s="163" t="s">
        <v>107</v>
      </c>
      <c r="D34" s="163"/>
      <c r="E34" s="35">
        <v>20.52</v>
      </c>
      <c r="F34" s="4">
        <v>2310</v>
      </c>
      <c r="G34" s="4">
        <f t="shared" si="27"/>
        <v>47401.2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2309.9999999999986</v>
      </c>
      <c r="N34" s="16">
        <f t="shared" si="3"/>
        <v>128.33333333333326</v>
      </c>
      <c r="O34" s="18">
        <f t="shared" si="4"/>
        <v>0</v>
      </c>
      <c r="P34" s="19">
        <f t="shared" si="5"/>
        <v>-5.0000000000000853</v>
      </c>
      <c r="Q34" s="20">
        <f t="shared" si="6"/>
        <v>0.96249999999999936</v>
      </c>
      <c r="R34" s="170"/>
      <c r="S34" s="27">
        <v>0.35555555555555551</v>
      </c>
      <c r="T34" s="27">
        <v>0.3972222222222222</v>
      </c>
      <c r="U34" s="4">
        <f t="shared" si="30"/>
        <v>4.9999999999999822</v>
      </c>
      <c r="V34" s="21">
        <f t="shared" si="29"/>
        <v>60.000000000000028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-90.000000000001364</v>
      </c>
      <c r="AF34" s="20">
        <f t="shared" si="9"/>
        <v>0.96249999999999947</v>
      </c>
      <c r="AG34" s="170"/>
    </row>
    <row r="35" spans="1:33">
      <c r="A35" s="189" t="s">
        <v>2416</v>
      </c>
      <c r="B35" s="35" t="s">
        <v>97</v>
      </c>
      <c r="C35" s="163" t="s">
        <v>304</v>
      </c>
      <c r="D35" s="163"/>
      <c r="E35" s="35">
        <v>22.69</v>
      </c>
      <c r="F35" s="4">
        <v>4799</v>
      </c>
      <c r="G35" s="4">
        <f t="shared" si="27"/>
        <v>108889.31000000001</v>
      </c>
      <c r="H35" s="21" t="s">
        <v>133</v>
      </c>
      <c r="I35" s="15">
        <v>15</v>
      </c>
      <c r="J35" s="17">
        <v>2400</v>
      </c>
      <c r="K35" s="16">
        <f t="shared" si="1"/>
        <v>160</v>
      </c>
      <c r="L35" s="15">
        <v>15</v>
      </c>
      <c r="M35" s="17">
        <f t="shared" si="28"/>
        <v>2285.238095238095</v>
      </c>
      <c r="N35" s="16">
        <f t="shared" si="3"/>
        <v>152.34920634920633</v>
      </c>
      <c r="O35" s="18">
        <f t="shared" si="4"/>
        <v>0</v>
      </c>
      <c r="P35" s="19">
        <f t="shared" si="5"/>
        <v>-7.6507936507936734</v>
      </c>
      <c r="Q35" s="20">
        <f t="shared" si="6"/>
        <v>0.95218253968253952</v>
      </c>
      <c r="R35" s="170"/>
      <c r="S35" s="27">
        <v>0.40277777777777773</v>
      </c>
      <c r="T35" s="27">
        <v>0.49027777777777776</v>
      </c>
      <c r="U35" s="4">
        <f t="shared" si="30"/>
        <v>7.9999999999999716</v>
      </c>
      <c r="V35" s="21">
        <f t="shared" si="29"/>
        <v>126.00000000000003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-114.76190476190504</v>
      </c>
      <c r="AF35" s="20">
        <f t="shared" si="9"/>
        <v>0.95218253968253952</v>
      </c>
      <c r="AG35" s="170"/>
    </row>
    <row r="36" spans="1:33">
      <c r="A36" s="189" t="s">
        <v>2415</v>
      </c>
      <c r="B36" s="16" t="s">
        <v>2407</v>
      </c>
      <c r="C36" s="171"/>
      <c r="D36" s="171"/>
      <c r="E36" s="36"/>
      <c r="F36" s="16"/>
      <c r="G36" s="16"/>
      <c r="H36" s="4"/>
      <c r="I36" s="29">
        <v>17.600000000000001</v>
      </c>
      <c r="J36" s="17">
        <v>2400</v>
      </c>
      <c r="K36" s="16">
        <f t="shared" si="1"/>
        <v>136.36363636363635</v>
      </c>
      <c r="L36" s="29">
        <v>17.600000000000001</v>
      </c>
      <c r="M36" s="17">
        <f>AVERAGE(M31:M35)</f>
        <v>2292.5904624111517</v>
      </c>
      <c r="N36" s="16">
        <f t="shared" si="3"/>
        <v>130.26082172790635</v>
      </c>
      <c r="O36" s="18">
        <f t="shared" si="4"/>
        <v>0</v>
      </c>
      <c r="P36" s="19">
        <f t="shared" si="5"/>
        <v>-6.1028146357299988</v>
      </c>
      <c r="Q36" s="20">
        <f t="shared" si="6"/>
        <v>0.9552460260046467</v>
      </c>
      <c r="R36" s="170"/>
      <c r="S36" s="27"/>
      <c r="T36" s="27"/>
      <c r="U36" s="16"/>
      <c r="V36" s="21"/>
      <c r="W36" s="16"/>
      <c r="X36" s="16"/>
      <c r="Y36" s="30">
        <f>SUM(Y31:Y35)</f>
        <v>0</v>
      </c>
      <c r="Z36" s="30">
        <f>SUM(Z31:Z35)</f>
        <v>0</v>
      </c>
      <c r="AA36" s="166"/>
      <c r="AB36" s="166"/>
      <c r="AC36" s="30">
        <v>5</v>
      </c>
      <c r="AD36" s="30">
        <f>SUM(AD31:AD35)</f>
        <v>0</v>
      </c>
      <c r="AE36" s="18">
        <f t="shared" si="8"/>
        <v>-107.40953758884825</v>
      </c>
      <c r="AF36" s="20">
        <f t="shared" si="9"/>
        <v>0.95524602600464659</v>
      </c>
      <c r="AG36" s="170"/>
    </row>
    <row r="37" spans="1:33" ht="15.75" customHeight="1">
      <c r="A37" s="182" t="s">
        <v>2417</v>
      </c>
      <c r="B37" s="35" t="s">
        <v>108</v>
      </c>
      <c r="C37" s="174" t="s">
        <v>1514</v>
      </c>
      <c r="D37" s="175"/>
      <c r="E37" s="35">
        <v>34.35</v>
      </c>
      <c r="F37" s="4">
        <v>4056</v>
      </c>
      <c r="G37" s="4">
        <f t="shared" ref="G37:G41" si="31">E37*F37</f>
        <v>139323.6</v>
      </c>
      <c r="H37" s="21" t="s">
        <v>133</v>
      </c>
      <c r="I37" s="15">
        <v>8</v>
      </c>
      <c r="J37" s="17">
        <v>3000</v>
      </c>
      <c r="K37" s="16">
        <f t="shared" si="1"/>
        <v>375</v>
      </c>
      <c r="L37" s="15">
        <v>8</v>
      </c>
      <c r="M37" s="17">
        <f t="shared" ref="M37:M41" si="32">F37/V37*60</f>
        <v>2863.0588235294122</v>
      </c>
      <c r="N37" s="17">
        <f t="shared" si="3"/>
        <v>357.88235294117652</v>
      </c>
      <c r="O37" s="18">
        <f t="shared" si="4"/>
        <v>0</v>
      </c>
      <c r="P37" s="19">
        <f t="shared" si="5"/>
        <v>-17.117647058823479</v>
      </c>
      <c r="Q37" s="20">
        <f t="shared" si="6"/>
        <v>0.95435294117647074</v>
      </c>
      <c r="R37" s="185">
        <f>Q42</f>
        <v>0.9542486521390251</v>
      </c>
      <c r="S37" s="27">
        <v>8.3333333333333329E-2</v>
      </c>
      <c r="T37" s="27">
        <v>0.1423611111111111</v>
      </c>
      <c r="U37" s="27"/>
      <c r="V37" s="21">
        <f t="shared" ref="V37:V41" si="33">(T37-S37)*24*60</f>
        <v>84.999999999999986</v>
      </c>
      <c r="W37" s="22">
        <f>T37</f>
        <v>0.1423611111111111</v>
      </c>
      <c r="X37" s="22">
        <f>S38</f>
        <v>0.15972222222222218</v>
      </c>
      <c r="Y37" s="25"/>
      <c r="Z37" s="25"/>
      <c r="AA37" s="176"/>
      <c r="AB37" s="177"/>
      <c r="AC37" s="24">
        <v>5</v>
      </c>
      <c r="AD37" s="24"/>
      <c r="AE37" s="18">
        <f t="shared" si="8"/>
        <v>-136.94117647058783</v>
      </c>
      <c r="AF37" s="20">
        <f t="shared" si="9"/>
        <v>0.95435294117647074</v>
      </c>
      <c r="AG37" s="185">
        <f>AF42</f>
        <v>0.9542486521390251</v>
      </c>
    </row>
    <row r="38" spans="1:33" ht="15.75" customHeight="1">
      <c r="A38" s="183" t="s">
        <v>2417</v>
      </c>
      <c r="B38" s="35" t="s">
        <v>108</v>
      </c>
      <c r="C38" s="174" t="s">
        <v>111</v>
      </c>
      <c r="D38" s="175"/>
      <c r="E38" s="35">
        <v>21.13</v>
      </c>
      <c r="F38" s="4">
        <v>4685</v>
      </c>
      <c r="G38" s="4">
        <f t="shared" si="31"/>
        <v>98994.049999999988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si="32"/>
        <v>2868.367346938775</v>
      </c>
      <c r="N38" s="17">
        <f t="shared" si="3"/>
        <v>286.83673469387747</v>
      </c>
      <c r="O38" s="18">
        <f t="shared" si="4"/>
        <v>0</v>
      </c>
      <c r="P38" s="19">
        <f t="shared" si="5"/>
        <v>-13.163265306122526</v>
      </c>
      <c r="Q38" s="20">
        <f t="shared" si="6"/>
        <v>0.95612244897959153</v>
      </c>
      <c r="R38" s="186"/>
      <c r="S38" s="27">
        <v>0.15972222222222218</v>
      </c>
      <c r="T38" s="27">
        <v>0.22777777777777775</v>
      </c>
      <c r="U38" s="4">
        <f t="shared" ref="U38:U41" si="34">(S38-T37)*24*60</f>
        <v>24.99999999999995</v>
      </c>
      <c r="V38" s="21">
        <f t="shared" si="33"/>
        <v>98.000000000000014</v>
      </c>
      <c r="W38" s="22"/>
      <c r="X38" s="22"/>
      <c r="Y38" s="25"/>
      <c r="Z38" s="25"/>
      <c r="AA38" s="176"/>
      <c r="AB38" s="177"/>
      <c r="AC38" s="24"/>
      <c r="AD38" s="24"/>
      <c r="AE38" s="18">
        <f t="shared" si="8"/>
        <v>-131.63265306122503</v>
      </c>
      <c r="AF38" s="20">
        <f t="shared" si="9"/>
        <v>0.95612244897959164</v>
      </c>
      <c r="AG38" s="186"/>
    </row>
    <row r="39" spans="1:33" ht="15.75" customHeight="1">
      <c r="A39" s="183" t="s">
        <v>2417</v>
      </c>
      <c r="B39" s="35" t="s">
        <v>108</v>
      </c>
      <c r="C39" s="174" t="s">
        <v>112</v>
      </c>
      <c r="D39" s="175"/>
      <c r="E39" s="35">
        <v>27.17</v>
      </c>
      <c r="F39" s="4">
        <v>5903</v>
      </c>
      <c r="G39" s="4">
        <f t="shared" si="31"/>
        <v>160384.51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2856.290322580644</v>
      </c>
      <c r="N39" s="17">
        <f t="shared" si="3"/>
        <v>285.6290322580644</v>
      </c>
      <c r="O39" s="18">
        <f t="shared" si="4"/>
        <v>0</v>
      </c>
      <c r="P39" s="19">
        <f t="shared" si="5"/>
        <v>-14.370967741935601</v>
      </c>
      <c r="Q39" s="20">
        <f t="shared" si="6"/>
        <v>0.95209677419354799</v>
      </c>
      <c r="R39" s="186"/>
      <c r="S39" s="27">
        <v>0.23124999999999996</v>
      </c>
      <c r="T39" s="27">
        <v>0.31736111111111109</v>
      </c>
      <c r="U39" s="4">
        <f t="shared" si="34"/>
        <v>4.9999999999999822</v>
      </c>
      <c r="V39" s="21">
        <f t="shared" si="33"/>
        <v>124.00000000000004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-143.70967741935601</v>
      </c>
      <c r="AF39" s="20">
        <f t="shared" si="9"/>
        <v>0.95209677419354799</v>
      </c>
      <c r="AG39" s="186"/>
    </row>
    <row r="40" spans="1:33" ht="15.75" customHeight="1">
      <c r="A40" s="183" t="s">
        <v>2417</v>
      </c>
      <c r="B40" s="35" t="s">
        <v>108</v>
      </c>
      <c r="C40" s="174" t="s">
        <v>305</v>
      </c>
      <c r="D40" s="175"/>
      <c r="E40" s="35">
        <v>28.3</v>
      </c>
      <c r="F40" s="4">
        <v>2055</v>
      </c>
      <c r="G40" s="4">
        <f t="shared" si="31"/>
        <v>58156.5</v>
      </c>
      <c r="H40" s="21" t="s">
        <v>133</v>
      </c>
      <c r="I40" s="15">
        <v>8</v>
      </c>
      <c r="J40" s="17">
        <v>3000</v>
      </c>
      <c r="K40" s="16">
        <f t="shared" si="1"/>
        <v>375</v>
      </c>
      <c r="L40" s="15">
        <v>8</v>
      </c>
      <c r="M40" s="17">
        <f t="shared" si="32"/>
        <v>2867.4418604651155</v>
      </c>
      <c r="N40" s="17">
        <f t="shared" si="3"/>
        <v>358.43023255813944</v>
      </c>
      <c r="O40" s="18">
        <f t="shared" si="4"/>
        <v>0</v>
      </c>
      <c r="P40" s="19">
        <f t="shared" si="5"/>
        <v>-16.569767441860563</v>
      </c>
      <c r="Q40" s="20">
        <f t="shared" si="6"/>
        <v>0.95581395348837184</v>
      </c>
      <c r="R40" s="186"/>
      <c r="S40" s="27">
        <v>0.32291666666666663</v>
      </c>
      <c r="T40" s="27">
        <v>0.35277777777777775</v>
      </c>
      <c r="U40" s="4">
        <f t="shared" si="34"/>
        <v>7.9999999999999716</v>
      </c>
      <c r="V40" s="21">
        <f t="shared" si="33"/>
        <v>43.000000000000007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-132.5581395348845</v>
      </c>
      <c r="AF40" s="20">
        <f t="shared" si="9"/>
        <v>0.95581395348837184</v>
      </c>
      <c r="AG40" s="186"/>
    </row>
    <row r="41" spans="1:33" ht="15.75" customHeight="1">
      <c r="A41" s="183" t="s">
        <v>2417</v>
      </c>
      <c r="B41" s="35" t="s">
        <v>108</v>
      </c>
      <c r="C41" s="174" t="s">
        <v>113</v>
      </c>
      <c r="D41" s="175"/>
      <c r="E41" s="35">
        <v>35.869999999999997</v>
      </c>
      <c r="F41" s="4">
        <v>3335</v>
      </c>
      <c r="G41" s="4">
        <f t="shared" si="31"/>
        <v>119626.45</v>
      </c>
      <c r="H41" s="21" t="s">
        <v>133</v>
      </c>
      <c r="I41" s="15">
        <v>9</v>
      </c>
      <c r="J41" s="17">
        <v>3000</v>
      </c>
      <c r="K41" s="16">
        <f t="shared" si="1"/>
        <v>333.33333333333331</v>
      </c>
      <c r="L41" s="15">
        <v>9</v>
      </c>
      <c r="M41" s="17">
        <f t="shared" si="32"/>
        <v>2858.5714285714294</v>
      </c>
      <c r="N41" s="17">
        <f t="shared" si="3"/>
        <v>317.61904761904771</v>
      </c>
      <c r="O41" s="18">
        <f t="shared" si="4"/>
        <v>0</v>
      </c>
      <c r="P41" s="19">
        <f t="shared" si="5"/>
        <v>-15.714285714285609</v>
      </c>
      <c r="Q41" s="20">
        <f t="shared" si="6"/>
        <v>0.95285714285714318</v>
      </c>
      <c r="R41" s="186"/>
      <c r="S41" s="27">
        <v>0.35624999999999996</v>
      </c>
      <c r="T41" s="27">
        <v>0.40486111111111106</v>
      </c>
      <c r="U41" s="4">
        <f t="shared" si="34"/>
        <v>4.9999999999999822</v>
      </c>
      <c r="V41" s="21">
        <f t="shared" si="33"/>
        <v>69.999999999999986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-141.42857142857065</v>
      </c>
      <c r="AF41" s="20">
        <f t="shared" si="9"/>
        <v>0.95285714285714307</v>
      </c>
      <c r="AG41" s="186"/>
    </row>
    <row r="42" spans="1:33" ht="15.75" customHeight="1">
      <c r="A42" s="184" t="s">
        <v>2417</v>
      </c>
      <c r="B42" s="35" t="s">
        <v>2407</v>
      </c>
      <c r="C42" s="164"/>
      <c r="D42" s="165"/>
      <c r="E42" s="37"/>
      <c r="F42" s="4"/>
      <c r="G42" s="4"/>
      <c r="H42" s="4"/>
      <c r="I42" s="29">
        <v>9</v>
      </c>
      <c r="J42" s="17">
        <v>3000</v>
      </c>
      <c r="K42" s="16">
        <f t="shared" si="1"/>
        <v>333.33333333333331</v>
      </c>
      <c r="L42" s="29">
        <v>9</v>
      </c>
      <c r="M42" s="17">
        <f>AVERAGE(M37:M41)</f>
        <v>2862.7459564170754</v>
      </c>
      <c r="N42" s="16">
        <f t="shared" si="3"/>
        <v>318.08288404634169</v>
      </c>
      <c r="O42" s="18">
        <f t="shared" si="4"/>
        <v>0</v>
      </c>
      <c r="P42" s="19">
        <f t="shared" si="5"/>
        <v>-15.250449286991625</v>
      </c>
      <c r="Q42" s="20">
        <f t="shared" si="6"/>
        <v>0.9542486521390251</v>
      </c>
      <c r="R42" s="187"/>
      <c r="S42" s="27"/>
      <c r="T42" s="27"/>
      <c r="U42" s="4"/>
      <c r="V42" s="21"/>
      <c r="W42" s="22"/>
      <c r="X42" s="22"/>
      <c r="Y42" s="30">
        <f>SUM(Y37:Y41)</f>
        <v>0</v>
      </c>
      <c r="Z42" s="30">
        <f>SUM(Z37:Z41)</f>
        <v>0</v>
      </c>
      <c r="AA42" s="180"/>
      <c r="AB42" s="181"/>
      <c r="AC42" s="30">
        <v>5</v>
      </c>
      <c r="AD42" s="30">
        <f>SUM(AD37:AD41)</f>
        <v>0</v>
      </c>
      <c r="AE42" s="18">
        <f t="shared" si="8"/>
        <v>-137.25404358292462</v>
      </c>
      <c r="AF42" s="20">
        <f t="shared" si="9"/>
        <v>0.9542486521390251</v>
      </c>
      <c r="AG42" s="187"/>
    </row>
    <row r="43" spans="1:33" ht="15.75" customHeight="1">
      <c r="A43" s="178" t="s">
        <v>2418</v>
      </c>
      <c r="B43" s="35" t="s">
        <v>84</v>
      </c>
      <c r="C43" s="163" t="s">
        <v>114</v>
      </c>
      <c r="D43" s="163"/>
      <c r="E43" s="35">
        <v>46</v>
      </c>
      <c r="F43" s="38">
        <v>2025</v>
      </c>
      <c r="G43" s="4">
        <f t="shared" ref="G43:G49" si="35">E43*F43</f>
        <v>93150</v>
      </c>
      <c r="H43" s="21" t="s">
        <v>133</v>
      </c>
      <c r="I43" s="15">
        <v>17</v>
      </c>
      <c r="J43" s="17">
        <v>2000</v>
      </c>
      <c r="K43" s="16">
        <f t="shared" si="1"/>
        <v>117.64705882352941</v>
      </c>
      <c r="L43" s="15">
        <v>17</v>
      </c>
      <c r="M43" s="17">
        <f t="shared" ref="M43" si="36">F43/V43*60</f>
        <v>1928.5714285714291</v>
      </c>
      <c r="N43" s="17">
        <f t="shared" si="3"/>
        <v>113.44537815126054</v>
      </c>
      <c r="O43" s="18">
        <f t="shared" si="4"/>
        <v>0</v>
      </c>
      <c r="P43" s="19">
        <f t="shared" si="5"/>
        <v>-4.2016806722688642</v>
      </c>
      <c r="Q43" s="20">
        <f t="shared" si="6"/>
        <v>0.96428571428571463</v>
      </c>
      <c r="R43" s="170">
        <f>Q50</f>
        <v>0.96484100573755727</v>
      </c>
      <c r="S43" s="27">
        <v>0.20833333333333334</v>
      </c>
      <c r="T43" s="27">
        <v>0.25208333333333333</v>
      </c>
      <c r="U43" s="27"/>
      <c r="V43" s="21">
        <f t="shared" ref="V43:V49" si="37">(T43-S43)*24*60</f>
        <v>62.999999999999979</v>
      </c>
      <c r="W43" s="27"/>
      <c r="X43" s="27"/>
      <c r="Y43" s="27"/>
      <c r="Z43" s="27"/>
      <c r="AA43" s="162"/>
      <c r="AB43" s="162"/>
      <c r="AC43" s="24">
        <v>7</v>
      </c>
      <c r="AD43" s="24"/>
      <c r="AE43" s="18">
        <f t="shared" si="8"/>
        <v>-71.428571428570876</v>
      </c>
      <c r="AF43" s="20">
        <f t="shared" si="9"/>
        <v>0.96428571428571452</v>
      </c>
      <c r="AG43" s="170">
        <f>AF50</f>
        <v>0.96484100573755727</v>
      </c>
    </row>
    <row r="44" spans="1:33" ht="15.75" customHeight="1">
      <c r="A44" s="178" t="s">
        <v>2418</v>
      </c>
      <c r="B44" s="35" t="s">
        <v>78</v>
      </c>
      <c r="C44" s="163" t="s">
        <v>115</v>
      </c>
      <c r="D44" s="163"/>
      <c r="E44" s="35">
        <v>56.43</v>
      </c>
      <c r="F44" s="38">
        <v>1339</v>
      </c>
      <c r="G44" s="4">
        <f t="shared" si="35"/>
        <v>75559.77</v>
      </c>
      <c r="H44" s="21" t="s">
        <v>133</v>
      </c>
      <c r="I44" s="15">
        <v>22</v>
      </c>
      <c r="J44" s="17">
        <v>2000</v>
      </c>
      <c r="K44" s="16">
        <f t="shared" si="1"/>
        <v>90.909090909090907</v>
      </c>
      <c r="L44" s="15">
        <v>22</v>
      </c>
      <c r="M44" s="17">
        <f>F44/V44*60</f>
        <v>1912.8571428571422</v>
      </c>
      <c r="N44" s="17">
        <f t="shared" si="3"/>
        <v>86.948051948051912</v>
      </c>
      <c r="O44" s="18">
        <f t="shared" si="4"/>
        <v>0</v>
      </c>
      <c r="P44" s="19">
        <f t="shared" si="5"/>
        <v>-3.9610389610389944</v>
      </c>
      <c r="Q44" s="20">
        <f t="shared" si="6"/>
        <v>0.95642857142857107</v>
      </c>
      <c r="R44" s="170"/>
      <c r="S44" s="27">
        <v>0.25555555555555554</v>
      </c>
      <c r="T44" s="27">
        <v>0.28472222222222221</v>
      </c>
      <c r="U44" s="4">
        <f t="shared" ref="U44:U49" si="38">IF(S44=TIME(17,0,0),"",(S44-T43)*24*60)</f>
        <v>4.9999999999999822</v>
      </c>
      <c r="V44" s="21">
        <f t="shared" si="37"/>
        <v>42.000000000000014</v>
      </c>
      <c r="W44" s="22"/>
      <c r="X44" s="22"/>
      <c r="Y44" s="22"/>
      <c r="Z44" s="22"/>
      <c r="AA44" s="162"/>
      <c r="AB44" s="162"/>
      <c r="AC44" s="24"/>
      <c r="AD44" s="24"/>
      <c r="AE44" s="18">
        <f t="shared" si="8"/>
        <v>-87.142857142857792</v>
      </c>
      <c r="AF44" s="20">
        <f t="shared" si="9"/>
        <v>0.95642857142857107</v>
      </c>
      <c r="AG44" s="170"/>
    </row>
    <row r="45" spans="1:33" ht="15.75" customHeight="1">
      <c r="A45" s="178" t="s">
        <v>2418</v>
      </c>
      <c r="B45" s="35" t="s">
        <v>78</v>
      </c>
      <c r="C45" s="174" t="s">
        <v>116</v>
      </c>
      <c r="D45" s="175"/>
      <c r="E45" s="35">
        <v>51.75</v>
      </c>
      <c r="F45" s="38">
        <v>926</v>
      </c>
      <c r="G45" s="4">
        <f t="shared" si="35"/>
        <v>47920.5</v>
      </c>
      <c r="H45" s="21" t="s">
        <v>133</v>
      </c>
      <c r="I45" s="15">
        <v>25</v>
      </c>
      <c r="J45" s="17">
        <v>2000</v>
      </c>
      <c r="K45" s="16">
        <f t="shared" si="1"/>
        <v>80</v>
      </c>
      <c r="L45" s="15">
        <v>25</v>
      </c>
      <c r="M45" s="17">
        <f t="shared" ref="M45:M49" si="39">F45/V45*60</f>
        <v>1915.8620689655186</v>
      </c>
      <c r="N45" s="17">
        <f t="shared" si="3"/>
        <v>76.634482758620749</v>
      </c>
      <c r="O45" s="18">
        <f t="shared" si="4"/>
        <v>0</v>
      </c>
      <c r="P45" s="19">
        <f t="shared" si="5"/>
        <v>-3.3655172413792513</v>
      </c>
      <c r="Q45" s="20">
        <f t="shared" si="6"/>
        <v>0.9579310344827594</v>
      </c>
      <c r="R45" s="170"/>
      <c r="S45" s="27">
        <v>0.28888888888888886</v>
      </c>
      <c r="T45" s="27">
        <v>0.30902777777777773</v>
      </c>
      <c r="U45" s="4">
        <f t="shared" si="38"/>
        <v>5.9999999999999787</v>
      </c>
      <c r="V45" s="21">
        <f t="shared" si="37"/>
        <v>28.999999999999979</v>
      </c>
      <c r="W45" s="22"/>
      <c r="X45" s="22"/>
      <c r="Y45" s="25"/>
      <c r="Z45" s="25"/>
      <c r="AA45" s="162"/>
      <c r="AB45" s="162"/>
      <c r="AC45" s="24"/>
      <c r="AD45" s="24"/>
      <c r="AE45" s="18">
        <f t="shared" si="8"/>
        <v>-84.137931034481426</v>
      </c>
      <c r="AF45" s="20">
        <f t="shared" si="9"/>
        <v>0.95793103448275929</v>
      </c>
      <c r="AG45" s="170"/>
    </row>
    <row r="46" spans="1:33" ht="15.75" customHeight="1">
      <c r="A46" s="178" t="s">
        <v>2419</v>
      </c>
      <c r="B46" s="35" t="s">
        <v>78</v>
      </c>
      <c r="C46" s="39" t="s">
        <v>118</v>
      </c>
      <c r="D46" s="40"/>
      <c r="E46" s="35">
        <v>57.73</v>
      </c>
      <c r="F46" s="38">
        <v>1059</v>
      </c>
      <c r="G46" s="4">
        <f t="shared" si="35"/>
        <v>61136.07</v>
      </c>
      <c r="H46" s="21" t="s">
        <v>133</v>
      </c>
      <c r="I46" s="15">
        <v>16</v>
      </c>
      <c r="J46" s="17">
        <v>1500</v>
      </c>
      <c r="K46" s="16">
        <f t="shared" si="1"/>
        <v>93.75</v>
      </c>
      <c r="L46" s="15">
        <v>16</v>
      </c>
      <c r="M46" s="17">
        <f t="shared" si="39"/>
        <v>1444.090909090909</v>
      </c>
      <c r="N46" s="17">
        <f t="shared" si="3"/>
        <v>90.255681818181813</v>
      </c>
      <c r="O46" s="18">
        <f t="shared" si="4"/>
        <v>0</v>
      </c>
      <c r="P46" s="19">
        <f t="shared" si="5"/>
        <v>-3.494318181818187</v>
      </c>
      <c r="Q46" s="20">
        <f t="shared" si="6"/>
        <v>0.96272727272727265</v>
      </c>
      <c r="R46" s="170"/>
      <c r="S46" s="27">
        <v>0.70833333333333337</v>
      </c>
      <c r="T46" s="27">
        <v>0.73888888888888893</v>
      </c>
      <c r="U46" s="4" t="str">
        <f t="shared" si="38"/>
        <v/>
      </c>
      <c r="V46" s="21">
        <f t="shared" si="37"/>
        <v>44</v>
      </c>
      <c r="W46" s="22"/>
      <c r="X46" s="22"/>
      <c r="Y46" s="25"/>
      <c r="Z46" s="25"/>
      <c r="AA46" s="162"/>
      <c r="AB46" s="162"/>
      <c r="AC46" s="24"/>
      <c r="AD46" s="24"/>
      <c r="AE46" s="18">
        <f t="shared" si="8"/>
        <v>-55.909090909090992</v>
      </c>
      <c r="AF46" s="20">
        <f t="shared" si="9"/>
        <v>0.96272727272727265</v>
      </c>
      <c r="AG46" s="170"/>
    </row>
    <row r="47" spans="1:33" ht="15.75" customHeight="1">
      <c r="A47" s="178" t="s">
        <v>2419</v>
      </c>
      <c r="B47" s="35" t="s">
        <v>78</v>
      </c>
      <c r="C47" s="39" t="s">
        <v>119</v>
      </c>
      <c r="D47" s="40"/>
      <c r="E47" s="35">
        <v>54.29</v>
      </c>
      <c r="F47" s="38">
        <v>1075</v>
      </c>
      <c r="G47" s="4">
        <f t="shared" si="35"/>
        <v>58361.75</v>
      </c>
      <c r="H47" s="21" t="s">
        <v>133</v>
      </c>
      <c r="I47" s="15">
        <v>20</v>
      </c>
      <c r="J47" s="17">
        <v>2000</v>
      </c>
      <c r="K47" s="16">
        <f t="shared" si="1"/>
        <v>100</v>
      </c>
      <c r="L47" s="15">
        <v>20</v>
      </c>
      <c r="M47" s="17">
        <f t="shared" si="39"/>
        <v>1954.5454545454522</v>
      </c>
      <c r="N47" s="17">
        <f t="shared" si="3"/>
        <v>97.727272727272606</v>
      </c>
      <c r="O47" s="18">
        <f t="shared" si="4"/>
        <v>0</v>
      </c>
      <c r="P47" s="19">
        <f t="shared" si="5"/>
        <v>-2.2727272727273942</v>
      </c>
      <c r="Q47" s="20">
        <f t="shared" si="6"/>
        <v>0.97727272727272607</v>
      </c>
      <c r="R47" s="170"/>
      <c r="S47" s="27">
        <v>0.74444444444444446</v>
      </c>
      <c r="T47" s="27">
        <v>0.76736111111111116</v>
      </c>
      <c r="U47" s="4">
        <f t="shared" si="38"/>
        <v>7.9999999999999716</v>
      </c>
      <c r="V47" s="21">
        <f t="shared" si="37"/>
        <v>33.000000000000043</v>
      </c>
      <c r="W47" s="22"/>
      <c r="X47" s="22"/>
      <c r="Y47" s="25"/>
      <c r="Z47" s="25"/>
      <c r="AA47" s="162"/>
      <c r="AB47" s="162"/>
      <c r="AC47" s="24"/>
      <c r="AD47" s="24"/>
      <c r="AE47" s="18">
        <f t="shared" si="8"/>
        <v>-45.45454545454777</v>
      </c>
      <c r="AF47" s="20">
        <f t="shared" si="9"/>
        <v>0.97727272727272607</v>
      </c>
      <c r="AG47" s="170"/>
    </row>
    <row r="48" spans="1:33" ht="15.75" customHeight="1">
      <c r="A48" s="178" t="s">
        <v>2419</v>
      </c>
      <c r="B48" s="35" t="s">
        <v>78</v>
      </c>
      <c r="C48" s="174" t="s">
        <v>120</v>
      </c>
      <c r="D48" s="175"/>
      <c r="E48" s="35">
        <v>55.56</v>
      </c>
      <c r="F48" s="38">
        <v>1763</v>
      </c>
      <c r="G48" s="4">
        <f t="shared" si="35"/>
        <v>97952.28</v>
      </c>
      <c r="H48" s="21" t="s">
        <v>133</v>
      </c>
      <c r="I48" s="15">
        <v>17</v>
      </c>
      <c r="J48" s="17">
        <v>2000</v>
      </c>
      <c r="K48" s="16">
        <f t="shared" si="1"/>
        <v>117.64705882352941</v>
      </c>
      <c r="L48" s="15">
        <v>17</v>
      </c>
      <c r="M48" s="17">
        <f t="shared" si="39"/>
        <v>1923.2727272727286</v>
      </c>
      <c r="N48" s="17">
        <f t="shared" si="3"/>
        <v>113.13368983957227</v>
      </c>
      <c r="O48" s="18">
        <f t="shared" si="4"/>
        <v>0</v>
      </c>
      <c r="P48" s="19">
        <f t="shared" si="5"/>
        <v>-4.513368983957136</v>
      </c>
      <c r="Q48" s="20">
        <f t="shared" si="6"/>
        <v>0.96163636363636429</v>
      </c>
      <c r="R48" s="170"/>
      <c r="S48" s="27">
        <v>0.77083333333333337</v>
      </c>
      <c r="T48" s="27">
        <v>0.80902777777777779</v>
      </c>
      <c r="U48" s="4">
        <f t="shared" si="38"/>
        <v>4.9999999999999822</v>
      </c>
      <c r="V48" s="21">
        <f t="shared" si="37"/>
        <v>54.999999999999964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-76.727272727271384</v>
      </c>
      <c r="AF48" s="20">
        <f t="shared" si="9"/>
        <v>0.96163636363636429</v>
      </c>
      <c r="AG48" s="170"/>
    </row>
    <row r="49" spans="1:33" ht="15.75" customHeight="1">
      <c r="A49" s="178" t="s">
        <v>2419</v>
      </c>
      <c r="B49" s="35" t="s">
        <v>78</v>
      </c>
      <c r="C49" s="174" t="s">
        <v>121</v>
      </c>
      <c r="D49" s="175"/>
      <c r="E49" s="35">
        <v>55.32</v>
      </c>
      <c r="F49" s="38">
        <v>1265</v>
      </c>
      <c r="G49" s="4">
        <f t="shared" si="35"/>
        <v>69979.8</v>
      </c>
      <c r="H49" s="21" t="s">
        <v>133</v>
      </c>
      <c r="I49" s="15">
        <v>15</v>
      </c>
      <c r="J49" s="17">
        <v>2000</v>
      </c>
      <c r="K49" s="16">
        <f t="shared" si="1"/>
        <v>133.33333333333334</v>
      </c>
      <c r="L49" s="15">
        <v>15</v>
      </c>
      <c r="M49" s="17">
        <f t="shared" si="39"/>
        <v>1946.1538461538451</v>
      </c>
      <c r="N49" s="17">
        <f t="shared" si="3"/>
        <v>129.74358974358967</v>
      </c>
      <c r="O49" s="18">
        <f t="shared" si="4"/>
        <v>0</v>
      </c>
      <c r="P49" s="19">
        <f t="shared" si="5"/>
        <v>-3.5897435897436765</v>
      </c>
      <c r="Q49" s="20">
        <f t="shared" si="6"/>
        <v>0.9730769230769224</v>
      </c>
      <c r="R49" s="170"/>
      <c r="S49" s="27">
        <v>0.81388888888888888</v>
      </c>
      <c r="T49" s="27">
        <v>0.84097222222222223</v>
      </c>
      <c r="U49" s="4">
        <f t="shared" si="38"/>
        <v>6.9999999999999751</v>
      </c>
      <c r="V49" s="21">
        <f t="shared" si="37"/>
        <v>39.000000000000021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-53.846153846154948</v>
      </c>
      <c r="AF49" s="20">
        <f t="shared" si="9"/>
        <v>0.97307692307692251</v>
      </c>
      <c r="AG49" s="170"/>
    </row>
    <row r="50" spans="1:33">
      <c r="A50" s="179" t="s">
        <v>2419</v>
      </c>
      <c r="B50" s="35" t="s">
        <v>2407</v>
      </c>
      <c r="C50" s="171"/>
      <c r="D50" s="171"/>
      <c r="E50" s="36"/>
      <c r="F50" s="16"/>
      <c r="G50" s="16"/>
      <c r="H50" s="4"/>
      <c r="I50" s="29">
        <v>18.857142857142858</v>
      </c>
      <c r="J50" s="17">
        <v>1928.5714285714287</v>
      </c>
      <c r="K50" s="16">
        <f t="shared" si="1"/>
        <v>102.27272727272728</v>
      </c>
      <c r="L50" s="29">
        <v>18.857142857142858</v>
      </c>
      <c r="M50" s="17">
        <f>AVERAGE(M43:M49)</f>
        <v>1860.7647967795749</v>
      </c>
      <c r="N50" s="16">
        <f t="shared" si="3"/>
        <v>98.676921041341089</v>
      </c>
      <c r="O50" s="18">
        <f t="shared" si="4"/>
        <v>0</v>
      </c>
      <c r="P50" s="19">
        <f t="shared" si="5"/>
        <v>-3.5958062313861916</v>
      </c>
      <c r="Q50" s="20">
        <f t="shared" si="6"/>
        <v>0.96484100573755727</v>
      </c>
      <c r="R50" s="170"/>
      <c r="S50" s="27"/>
      <c r="T50" s="27"/>
      <c r="U50" s="4"/>
      <c r="V50" s="21"/>
      <c r="W50" s="16"/>
      <c r="X50" s="16"/>
      <c r="Y50" s="30">
        <f>SUM(Y43:Y49)</f>
        <v>0</v>
      </c>
      <c r="Z50" s="30">
        <f>SUM(Z43:Z49)</f>
        <v>0</v>
      </c>
      <c r="AA50" s="166"/>
      <c r="AB50" s="166"/>
      <c r="AC50" s="30">
        <v>7</v>
      </c>
      <c r="AD50" s="30">
        <f>SUM(AD43:AD49)</f>
        <v>0</v>
      </c>
      <c r="AE50" s="18">
        <f>M50-J50</f>
        <v>-67.806631791853761</v>
      </c>
      <c r="AF50" s="20">
        <f t="shared" si="9"/>
        <v>0.96484100573755727</v>
      </c>
      <c r="AG50" s="170"/>
    </row>
    <row r="51" spans="1:33" ht="15.75" customHeight="1">
      <c r="A51" s="172" t="s">
        <v>2420</v>
      </c>
      <c r="B51" s="4" t="s">
        <v>108</v>
      </c>
      <c r="C51" s="163" t="s">
        <v>125</v>
      </c>
      <c r="D51" s="163"/>
      <c r="E51" s="35">
        <v>37.85</v>
      </c>
      <c r="F51" s="38">
        <v>1139</v>
      </c>
      <c r="G51" s="4">
        <f t="shared" ref="G51:G55" si="40">E51*F51</f>
        <v>43111.15</v>
      </c>
      <c r="H51" s="21" t="s">
        <v>133</v>
      </c>
      <c r="I51" s="15">
        <v>12</v>
      </c>
      <c r="J51" s="17">
        <v>2000</v>
      </c>
      <c r="K51" s="16">
        <f t="shared" si="1"/>
        <v>166.66666666666666</v>
      </c>
      <c r="L51" s="15">
        <v>12</v>
      </c>
      <c r="M51" s="17">
        <f t="shared" ref="M51:M55" si="41">F51/V51*60</f>
        <v>1952.5714285714291</v>
      </c>
      <c r="N51" s="16">
        <f t="shared" si="3"/>
        <v>162.71428571428575</v>
      </c>
      <c r="O51" s="18">
        <f t="shared" si="4"/>
        <v>0</v>
      </c>
      <c r="P51" s="19">
        <f t="shared" si="5"/>
        <v>-3.9523809523809064</v>
      </c>
      <c r="Q51" s="20">
        <f t="shared" si="6"/>
        <v>0.97628571428571453</v>
      </c>
      <c r="R51" s="170">
        <f>Q56</f>
        <v>0.96570884353741526</v>
      </c>
      <c r="S51" s="27">
        <v>0.20833333333333334</v>
      </c>
      <c r="T51" s="27">
        <v>0.2326388888888889</v>
      </c>
      <c r="U51" s="4"/>
      <c r="V51" s="21">
        <f t="shared" ref="V51:V55" si="42">(T51-S51)*24*60</f>
        <v>34.999999999999993</v>
      </c>
      <c r="W51" s="27"/>
      <c r="X51" s="27"/>
      <c r="Y51" s="27"/>
      <c r="Z51" s="27"/>
      <c r="AA51" s="162"/>
      <c r="AB51" s="162"/>
      <c r="AC51" s="24">
        <v>5</v>
      </c>
      <c r="AD51" s="24"/>
      <c r="AE51" s="18">
        <f t="shared" ref="AE51:AE62" si="43">M51-J51</f>
        <v>-47.428571428570876</v>
      </c>
      <c r="AF51" s="20">
        <f t="shared" si="9"/>
        <v>0.97628571428571453</v>
      </c>
      <c r="AG51" s="170">
        <f>AF56</f>
        <v>0.96570884353741526</v>
      </c>
    </row>
    <row r="52" spans="1:33" ht="15.75" customHeight="1">
      <c r="A52" s="172" t="s">
        <v>2421</v>
      </c>
      <c r="B52" s="4" t="s">
        <v>108</v>
      </c>
      <c r="C52" s="163" t="s">
        <v>126</v>
      </c>
      <c r="D52" s="163"/>
      <c r="E52" s="35">
        <v>34.36</v>
      </c>
      <c r="F52" s="38">
        <v>1693</v>
      </c>
      <c r="G52" s="4">
        <f t="shared" si="40"/>
        <v>58171.479999999996</v>
      </c>
      <c r="H52" s="21" t="s">
        <v>133</v>
      </c>
      <c r="I52" s="15">
        <v>10</v>
      </c>
      <c r="J52" s="17">
        <v>3000</v>
      </c>
      <c r="K52" s="16">
        <f t="shared" si="1"/>
        <v>300</v>
      </c>
      <c r="L52" s="15">
        <v>10</v>
      </c>
      <c r="M52" s="17">
        <f t="shared" si="41"/>
        <v>2902.2857142857147</v>
      </c>
      <c r="N52" s="16">
        <f t="shared" si="3"/>
        <v>290.22857142857146</v>
      </c>
      <c r="O52" s="18">
        <f t="shared" si="4"/>
        <v>0</v>
      </c>
      <c r="P52" s="19">
        <f t="shared" si="5"/>
        <v>-9.7714285714285438</v>
      </c>
      <c r="Q52" s="20">
        <f t="shared" si="6"/>
        <v>0.96742857142857153</v>
      </c>
      <c r="R52" s="170"/>
      <c r="S52" s="27">
        <v>0.23819444444444446</v>
      </c>
      <c r="T52" s="27">
        <v>0.26250000000000001</v>
      </c>
      <c r="U52" s="4">
        <f t="shared" ref="U52:U55" si="44">(S52-T51)*24*60</f>
        <v>8.0000000000000107</v>
      </c>
      <c r="V52" s="21">
        <f t="shared" si="42"/>
        <v>34.999999999999993</v>
      </c>
      <c r="W52" s="4"/>
      <c r="X52" s="4"/>
      <c r="Y52" s="4"/>
      <c r="Z52" s="4"/>
      <c r="AA52" s="162"/>
      <c r="AB52" s="162"/>
      <c r="AC52" s="24"/>
      <c r="AD52" s="24"/>
      <c r="AE52" s="18">
        <f t="shared" si="43"/>
        <v>-97.714285714285325</v>
      </c>
      <c r="AF52" s="20">
        <f t="shared" si="9"/>
        <v>0.96742857142857153</v>
      </c>
      <c r="AG52" s="170"/>
    </row>
    <row r="53" spans="1:33" ht="15.75" customHeight="1">
      <c r="A53" s="172" t="s">
        <v>2421</v>
      </c>
      <c r="B53" s="4" t="s">
        <v>108</v>
      </c>
      <c r="C53" s="163" t="s">
        <v>127</v>
      </c>
      <c r="D53" s="163"/>
      <c r="E53" s="35">
        <v>35.119999999999997</v>
      </c>
      <c r="F53" s="38">
        <v>4754</v>
      </c>
      <c r="G53" s="4">
        <f t="shared" si="40"/>
        <v>166960.47999999998</v>
      </c>
      <c r="H53" s="21" t="s">
        <v>133</v>
      </c>
      <c r="I53" s="15">
        <v>10</v>
      </c>
      <c r="J53" s="17">
        <v>3000</v>
      </c>
      <c r="K53" s="16">
        <f t="shared" si="1"/>
        <v>300</v>
      </c>
      <c r="L53" s="15">
        <v>10</v>
      </c>
      <c r="M53" s="17">
        <f t="shared" si="41"/>
        <v>2852.3999999999987</v>
      </c>
      <c r="N53" s="16">
        <f t="shared" si="3"/>
        <v>285.2399999999999</v>
      </c>
      <c r="O53" s="18">
        <f t="shared" si="4"/>
        <v>0</v>
      </c>
      <c r="P53" s="19">
        <f t="shared" si="5"/>
        <v>-14.760000000000105</v>
      </c>
      <c r="Q53" s="20">
        <f t="shared" si="6"/>
        <v>0.95079999999999965</v>
      </c>
      <c r="R53" s="170"/>
      <c r="S53" s="27">
        <v>0.26597222222222222</v>
      </c>
      <c r="T53" s="27">
        <v>0.3354166666666667</v>
      </c>
      <c r="U53" s="4">
        <f t="shared" si="44"/>
        <v>4.9999999999999822</v>
      </c>
      <c r="V53" s="21">
        <f t="shared" si="42"/>
        <v>100.00000000000004</v>
      </c>
      <c r="W53" s="4"/>
      <c r="X53" s="4"/>
      <c r="Y53" s="4"/>
      <c r="Z53" s="4"/>
      <c r="AA53" s="162"/>
      <c r="AB53" s="162"/>
      <c r="AC53" s="24"/>
      <c r="AD53" s="24"/>
      <c r="AE53" s="18">
        <f t="shared" si="43"/>
        <v>-147.60000000000127</v>
      </c>
      <c r="AF53" s="20">
        <f t="shared" si="9"/>
        <v>0.95079999999999953</v>
      </c>
      <c r="AG53" s="170"/>
    </row>
    <row r="54" spans="1:33" ht="15.75" customHeight="1">
      <c r="A54" s="172" t="s">
        <v>2421</v>
      </c>
      <c r="B54" s="4" t="s">
        <v>108</v>
      </c>
      <c r="C54" s="163" t="s">
        <v>109</v>
      </c>
      <c r="D54" s="163"/>
      <c r="E54" s="35">
        <v>34.36</v>
      </c>
      <c r="F54" s="38">
        <v>1455</v>
      </c>
      <c r="G54" s="4">
        <f t="shared" si="40"/>
        <v>49993.799999999996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41"/>
        <v>2910.0000000000027</v>
      </c>
      <c r="N54" s="16">
        <f t="shared" si="3"/>
        <v>291.00000000000028</v>
      </c>
      <c r="O54" s="18">
        <f t="shared" si="4"/>
        <v>0</v>
      </c>
      <c r="P54" s="19">
        <f t="shared" si="5"/>
        <v>-8.9999999999997158</v>
      </c>
      <c r="Q54" s="20">
        <f t="shared" si="6"/>
        <v>0.97000000000000097</v>
      </c>
      <c r="R54" s="170"/>
      <c r="S54" s="27">
        <v>0.34097222222222223</v>
      </c>
      <c r="T54" s="27">
        <v>0.36180555555555555</v>
      </c>
      <c r="U54" s="4">
        <f t="shared" si="44"/>
        <v>7.9999999999999716</v>
      </c>
      <c r="V54" s="21">
        <f t="shared" si="42"/>
        <v>29.999999999999972</v>
      </c>
      <c r="W54" s="4"/>
      <c r="X54" s="4"/>
      <c r="Y54" s="4"/>
      <c r="Z54" s="4"/>
      <c r="AA54" s="162"/>
      <c r="AB54" s="162"/>
      <c r="AC54" s="24"/>
      <c r="AD54" s="24"/>
      <c r="AE54" s="18">
        <f t="shared" si="43"/>
        <v>-89.999999999997272</v>
      </c>
      <c r="AF54" s="20">
        <f t="shared" si="9"/>
        <v>0.97000000000000086</v>
      </c>
      <c r="AG54" s="170"/>
    </row>
    <row r="55" spans="1:33">
      <c r="A55" s="173" t="s">
        <v>2422</v>
      </c>
      <c r="B55" s="4" t="s">
        <v>108</v>
      </c>
      <c r="C55" s="163" t="s">
        <v>110</v>
      </c>
      <c r="D55" s="163"/>
      <c r="E55" s="35">
        <v>26.78</v>
      </c>
      <c r="F55" s="38">
        <v>2177</v>
      </c>
      <c r="G55" s="4">
        <f t="shared" si="40"/>
        <v>58300.060000000005</v>
      </c>
      <c r="H55" s="21" t="s">
        <v>133</v>
      </c>
      <c r="I55" s="15">
        <v>10</v>
      </c>
      <c r="J55" s="17">
        <v>3000</v>
      </c>
      <c r="K55" s="16">
        <f t="shared" si="1"/>
        <v>300</v>
      </c>
      <c r="L55" s="15">
        <v>10</v>
      </c>
      <c r="M55" s="17">
        <f t="shared" si="41"/>
        <v>2902.666666666667</v>
      </c>
      <c r="N55" s="16">
        <f t="shared" si="3"/>
        <v>290.26666666666671</v>
      </c>
      <c r="O55" s="18">
        <f t="shared" si="4"/>
        <v>0</v>
      </c>
      <c r="P55" s="19">
        <f t="shared" si="5"/>
        <v>-9.7333333333332916</v>
      </c>
      <c r="Q55" s="20">
        <f t="shared" si="6"/>
        <v>0.96755555555555572</v>
      </c>
      <c r="R55" s="170"/>
      <c r="S55" s="27">
        <v>0.36666666666666664</v>
      </c>
      <c r="T55" s="27">
        <v>0.39791666666666664</v>
      </c>
      <c r="U55" s="4">
        <f t="shared" si="44"/>
        <v>6.9999999999999751</v>
      </c>
      <c r="V55" s="21">
        <f t="shared" si="42"/>
        <v>45</v>
      </c>
      <c r="W55" s="22"/>
      <c r="X55" s="22"/>
      <c r="Y55" s="22"/>
      <c r="Z55" s="22"/>
      <c r="AA55" s="162"/>
      <c r="AB55" s="162"/>
      <c r="AC55" s="24"/>
      <c r="AD55" s="24"/>
      <c r="AE55" s="18">
        <f t="shared" si="43"/>
        <v>-97.33333333333303</v>
      </c>
      <c r="AF55" s="20">
        <f t="shared" si="9"/>
        <v>0.96755555555555561</v>
      </c>
      <c r="AG55" s="170"/>
    </row>
    <row r="56" spans="1:33">
      <c r="A56" s="173" t="s">
        <v>2421</v>
      </c>
      <c r="B56" s="35" t="s">
        <v>2405</v>
      </c>
      <c r="C56" s="171"/>
      <c r="D56" s="171"/>
      <c r="E56" s="36"/>
      <c r="F56" s="16"/>
      <c r="G56" s="16"/>
      <c r="H56" s="4"/>
      <c r="I56" s="29">
        <v>10.4</v>
      </c>
      <c r="J56" s="17">
        <v>2800</v>
      </c>
      <c r="K56" s="16">
        <f t="shared" si="1"/>
        <v>269.23076923076923</v>
      </c>
      <c r="L56" s="29">
        <v>10.4</v>
      </c>
      <c r="M56" s="17">
        <f>AVERAGE(M51:M55)</f>
        <v>2703.9847619047628</v>
      </c>
      <c r="N56" s="16">
        <f t="shared" si="3"/>
        <v>259.99853479853488</v>
      </c>
      <c r="O56" s="18">
        <f t="shared" si="4"/>
        <v>0</v>
      </c>
      <c r="P56" s="19">
        <f t="shared" si="5"/>
        <v>-9.2322344322343497</v>
      </c>
      <c r="Q56" s="20">
        <f t="shared" si="6"/>
        <v>0.96570884353741526</v>
      </c>
      <c r="R56" s="170"/>
      <c r="S56" s="27"/>
      <c r="T56" s="27"/>
      <c r="U56" s="16"/>
      <c r="V56" s="21"/>
      <c r="W56" s="16"/>
      <c r="X56" s="16"/>
      <c r="Y56" s="30">
        <f>SUM(Y51:Y55)</f>
        <v>0</v>
      </c>
      <c r="Z56" s="30">
        <f>SUM(Z51:Z55)</f>
        <v>0</v>
      </c>
      <c r="AA56" s="166"/>
      <c r="AB56" s="166"/>
      <c r="AC56" s="30">
        <v>5</v>
      </c>
      <c r="AD56" s="30">
        <f>SUM(AD51:AD55)</f>
        <v>0</v>
      </c>
      <c r="AE56" s="18">
        <f t="shared" si="43"/>
        <v>-96.015238095237237</v>
      </c>
      <c r="AF56" s="20">
        <f t="shared" si="9"/>
        <v>0.96570884353741526</v>
      </c>
      <c r="AG56" s="170"/>
    </row>
    <row r="57" spans="1:33" ht="15.75" customHeight="1">
      <c r="A57" s="167" t="s">
        <v>2423</v>
      </c>
      <c r="B57" s="4" t="s">
        <v>97</v>
      </c>
      <c r="C57" s="163" t="s">
        <v>128</v>
      </c>
      <c r="D57" s="163"/>
      <c r="E57" s="35">
        <v>20.2</v>
      </c>
      <c r="F57" s="4">
        <v>1619</v>
      </c>
      <c r="G57" s="4">
        <f t="shared" ref="G57:G61" si="45">E57*F57</f>
        <v>32703.8</v>
      </c>
      <c r="H57" s="21" t="s">
        <v>133</v>
      </c>
      <c r="I57" s="15">
        <v>15</v>
      </c>
      <c r="J57" s="17">
        <v>2400</v>
      </c>
      <c r="K57" s="16">
        <f t="shared" si="1"/>
        <v>160</v>
      </c>
      <c r="L57" s="15">
        <v>15</v>
      </c>
      <c r="M57" s="17">
        <f t="shared" ref="M57:M61" si="46">F57/V57*60</f>
        <v>2312.8571428571431</v>
      </c>
      <c r="N57" s="16">
        <f t="shared" si="3"/>
        <v>154.1904761904762</v>
      </c>
      <c r="O57" s="18">
        <f t="shared" si="4"/>
        <v>0</v>
      </c>
      <c r="P57" s="19">
        <f t="shared" si="5"/>
        <v>-5.809523809523796</v>
      </c>
      <c r="Q57" s="20">
        <f t="shared" si="6"/>
        <v>0.96369047619047632</v>
      </c>
      <c r="R57" s="170">
        <f>Q62</f>
        <v>0.95835875447527974</v>
      </c>
      <c r="S57" s="27">
        <v>8.3333333333333329E-2</v>
      </c>
      <c r="T57" s="27">
        <v>0.11249999999999999</v>
      </c>
      <c r="U57" s="27"/>
      <c r="V57" s="21">
        <f t="shared" ref="V57:V61" si="47">(T57-S57)*24*60</f>
        <v>41.999999999999993</v>
      </c>
      <c r="W57" s="22">
        <f>T57</f>
        <v>0.11249999999999999</v>
      </c>
      <c r="X57" s="22">
        <f>S58</f>
        <v>0.13263888888888889</v>
      </c>
      <c r="Y57" s="22"/>
      <c r="Z57" s="22"/>
      <c r="AA57" s="162"/>
      <c r="AB57" s="162"/>
      <c r="AC57" s="24">
        <v>5</v>
      </c>
      <c r="AD57" s="24"/>
      <c r="AE57" s="18">
        <f t="shared" si="43"/>
        <v>-87.142857142856883</v>
      </c>
      <c r="AF57" s="20">
        <f t="shared" si="9"/>
        <v>0.96369047619047632</v>
      </c>
      <c r="AG57" s="170">
        <f>AF62</f>
        <v>0.95835875447527974</v>
      </c>
    </row>
    <row r="58" spans="1:33" ht="15.75" customHeight="1">
      <c r="A58" s="168" t="s">
        <v>2423</v>
      </c>
      <c r="B58" s="4" t="s">
        <v>97</v>
      </c>
      <c r="C58" s="163" t="s">
        <v>129</v>
      </c>
      <c r="D58" s="163"/>
      <c r="E58" s="35">
        <v>24.45</v>
      </c>
      <c r="F58" s="4">
        <v>2148</v>
      </c>
      <c r="G58" s="4">
        <f t="shared" si="45"/>
        <v>52518.6</v>
      </c>
      <c r="H58" s="21" t="s">
        <v>133</v>
      </c>
      <c r="I58" s="15">
        <v>19</v>
      </c>
      <c r="J58" s="17">
        <v>2400</v>
      </c>
      <c r="K58" s="16">
        <f t="shared" si="1"/>
        <v>126.31578947368421</v>
      </c>
      <c r="L58" s="15">
        <v>19</v>
      </c>
      <c r="M58" s="17">
        <f t="shared" si="46"/>
        <v>2301.4285714285711</v>
      </c>
      <c r="N58" s="16">
        <f t="shared" si="3"/>
        <v>121.12781954887217</v>
      </c>
      <c r="O58" s="18">
        <f t="shared" si="4"/>
        <v>0</v>
      </c>
      <c r="P58" s="19">
        <f t="shared" si="5"/>
        <v>-5.1879699248120374</v>
      </c>
      <c r="Q58" s="20">
        <f t="shared" si="6"/>
        <v>0.95892857142857135</v>
      </c>
      <c r="R58" s="170"/>
      <c r="S58" s="27">
        <v>0.13263888888888889</v>
      </c>
      <c r="T58" s="27">
        <v>0.17152777777777778</v>
      </c>
      <c r="U58" s="4">
        <f t="shared" ref="U58:U61" si="48">(S58-T57)*24*60</f>
        <v>29.000000000000018</v>
      </c>
      <c r="V58" s="21">
        <f t="shared" si="47"/>
        <v>56</v>
      </c>
      <c r="W58" s="22"/>
      <c r="X58" s="22"/>
      <c r="Y58" s="22"/>
      <c r="Z58" s="22"/>
      <c r="AA58" s="162"/>
      <c r="AB58" s="162"/>
      <c r="AC58" s="24"/>
      <c r="AD58" s="24"/>
      <c r="AE58" s="18">
        <f t="shared" si="43"/>
        <v>-98.571428571428896</v>
      </c>
      <c r="AF58" s="20">
        <f t="shared" si="9"/>
        <v>0.95892857142857124</v>
      </c>
      <c r="AG58" s="170"/>
    </row>
    <row r="59" spans="1:33" ht="15.75" customHeight="1">
      <c r="A59" s="168" t="s">
        <v>2423</v>
      </c>
      <c r="B59" s="4" t="s">
        <v>97</v>
      </c>
      <c r="C59" s="163" t="s">
        <v>106</v>
      </c>
      <c r="D59" s="163"/>
      <c r="E59" s="35">
        <v>20.21</v>
      </c>
      <c r="F59" s="4">
        <v>2256</v>
      </c>
      <c r="G59" s="4">
        <f t="shared" si="45"/>
        <v>45593.760000000002</v>
      </c>
      <c r="H59" s="21" t="s">
        <v>133</v>
      </c>
      <c r="I59" s="15">
        <v>15</v>
      </c>
      <c r="J59" s="17">
        <v>2400</v>
      </c>
      <c r="K59" s="16">
        <f t="shared" si="1"/>
        <v>160</v>
      </c>
      <c r="L59" s="15">
        <v>15</v>
      </c>
      <c r="M59" s="17">
        <f t="shared" si="46"/>
        <v>2294.2372881355936</v>
      </c>
      <c r="N59" s="16">
        <f t="shared" si="3"/>
        <v>152.9491525423729</v>
      </c>
      <c r="O59" s="18">
        <f t="shared" si="4"/>
        <v>0</v>
      </c>
      <c r="P59" s="19">
        <f t="shared" si="5"/>
        <v>-7.0508474576270999</v>
      </c>
      <c r="Q59" s="20">
        <f t="shared" si="6"/>
        <v>0.95593220338983065</v>
      </c>
      <c r="R59" s="170"/>
      <c r="S59" s="27">
        <v>0.17708333333333334</v>
      </c>
      <c r="T59" s="27">
        <v>0.21805555555555556</v>
      </c>
      <c r="U59" s="4">
        <f t="shared" si="48"/>
        <v>8.0000000000000107</v>
      </c>
      <c r="V59" s="21">
        <f t="shared" si="47"/>
        <v>58.999999999999993</v>
      </c>
      <c r="W59" s="22"/>
      <c r="X59" s="22"/>
      <c r="Y59" s="22"/>
      <c r="Z59" s="22"/>
      <c r="AA59" s="162"/>
      <c r="AB59" s="162"/>
      <c r="AC59" s="24"/>
      <c r="AD59" s="24"/>
      <c r="AE59" s="18">
        <f t="shared" si="43"/>
        <v>-105.76271186440636</v>
      </c>
      <c r="AF59" s="20">
        <f t="shared" si="9"/>
        <v>0.95593220338983065</v>
      </c>
      <c r="AG59" s="170"/>
    </row>
    <row r="60" spans="1:33" ht="15.75" customHeight="1">
      <c r="A60" s="168" t="s">
        <v>75</v>
      </c>
      <c r="B60" s="4" t="s">
        <v>97</v>
      </c>
      <c r="C60" s="163" t="s">
        <v>130</v>
      </c>
      <c r="D60" s="163"/>
      <c r="E60" s="35">
        <v>24.43</v>
      </c>
      <c r="F60" s="4">
        <v>5518</v>
      </c>
      <c r="G60" s="4">
        <f t="shared" si="45"/>
        <v>134804.74</v>
      </c>
      <c r="H60" s="21" t="s">
        <v>133</v>
      </c>
      <c r="I60" s="15">
        <v>14</v>
      </c>
      <c r="J60" s="17">
        <v>2400</v>
      </c>
      <c r="K60" s="16">
        <f t="shared" si="1"/>
        <v>171.42857142857142</v>
      </c>
      <c r="L60" s="15">
        <v>14</v>
      </c>
      <c r="M60" s="17">
        <f t="shared" si="46"/>
        <v>2299.1666666666661</v>
      </c>
      <c r="N60" s="16">
        <f t="shared" si="3"/>
        <v>164.22619047619042</v>
      </c>
      <c r="O60" s="18">
        <f t="shared" si="4"/>
        <v>0</v>
      </c>
      <c r="P60" s="19">
        <f t="shared" si="5"/>
        <v>-7.2023809523809916</v>
      </c>
      <c r="Q60" s="20">
        <f t="shared" si="6"/>
        <v>0.95798611111111087</v>
      </c>
      <c r="R60" s="170"/>
      <c r="S60" s="27">
        <v>0.22291666666666668</v>
      </c>
      <c r="T60" s="27">
        <v>0.32291666666666669</v>
      </c>
      <c r="U60" s="4">
        <f t="shared" si="48"/>
        <v>7.0000000000000151</v>
      </c>
      <c r="V60" s="21">
        <f t="shared" si="47"/>
        <v>144.00000000000003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-100.83333333333394</v>
      </c>
      <c r="AF60" s="20">
        <f t="shared" si="9"/>
        <v>0.95798611111111087</v>
      </c>
      <c r="AG60" s="170"/>
    </row>
    <row r="61" spans="1:33" ht="15.75" customHeight="1">
      <c r="A61" s="168" t="s">
        <v>2423</v>
      </c>
      <c r="B61" s="4" t="s">
        <v>97</v>
      </c>
      <c r="C61" s="163" t="s">
        <v>132</v>
      </c>
      <c r="D61" s="163"/>
      <c r="E61" s="35">
        <v>19.02</v>
      </c>
      <c r="F61" s="4">
        <v>7451</v>
      </c>
      <c r="G61" s="4">
        <f t="shared" si="45"/>
        <v>141718.01999999999</v>
      </c>
      <c r="H61" s="21" t="s">
        <v>133</v>
      </c>
      <c r="I61" s="15">
        <v>14</v>
      </c>
      <c r="J61" s="17">
        <v>2400</v>
      </c>
      <c r="K61" s="16">
        <f t="shared" si="1"/>
        <v>171.42857142857142</v>
      </c>
      <c r="L61" s="15">
        <v>14</v>
      </c>
      <c r="M61" s="17">
        <f t="shared" si="46"/>
        <v>2292.6153846153843</v>
      </c>
      <c r="N61" s="16">
        <f t="shared" si="3"/>
        <v>163.75824175824172</v>
      </c>
      <c r="O61" s="18">
        <f t="shared" si="4"/>
        <v>0</v>
      </c>
      <c r="P61" s="19">
        <f t="shared" si="5"/>
        <v>-7.6703296703296928</v>
      </c>
      <c r="Q61" s="20">
        <f t="shared" si="6"/>
        <v>0.95525641025641017</v>
      </c>
      <c r="R61" s="170"/>
      <c r="S61" s="27">
        <v>0.32847222222222222</v>
      </c>
      <c r="T61" s="27">
        <v>0.46388888888888891</v>
      </c>
      <c r="U61" s="4">
        <f t="shared" si="48"/>
        <v>7.9999999999999716</v>
      </c>
      <c r="V61" s="21">
        <f t="shared" si="47"/>
        <v>195.00000000000003</v>
      </c>
      <c r="W61" s="22"/>
      <c r="X61" s="22"/>
      <c r="Y61" s="22"/>
      <c r="Z61" s="22"/>
      <c r="AA61" s="162"/>
      <c r="AB61" s="162"/>
      <c r="AC61" s="24"/>
      <c r="AD61" s="24"/>
      <c r="AE61" s="18">
        <f t="shared" si="43"/>
        <v>-107.3846153846157</v>
      </c>
      <c r="AF61" s="20">
        <f t="shared" si="9"/>
        <v>0.95525641025641017</v>
      </c>
      <c r="AG61" s="170"/>
    </row>
    <row r="62" spans="1:33" ht="16.5" customHeight="1">
      <c r="A62" s="169" t="s">
        <v>2423</v>
      </c>
      <c r="B62" s="35" t="s">
        <v>2407</v>
      </c>
      <c r="C62" s="164"/>
      <c r="D62" s="165"/>
      <c r="E62" s="36"/>
      <c r="F62" s="16"/>
      <c r="G62" s="16"/>
      <c r="H62" s="4"/>
      <c r="I62" s="29">
        <v>15.4</v>
      </c>
      <c r="J62" s="17">
        <v>2400</v>
      </c>
      <c r="K62" s="16">
        <f t="shared" si="1"/>
        <v>155.84415584415584</v>
      </c>
      <c r="L62" s="29">
        <v>15.4</v>
      </c>
      <c r="M62" s="17">
        <f>AVERAGE(M57:M61)</f>
        <v>2300.0610107406715</v>
      </c>
      <c r="N62" s="16">
        <f t="shared" si="3"/>
        <v>149.35461108705658</v>
      </c>
      <c r="O62" s="18">
        <f t="shared" si="4"/>
        <v>0</v>
      </c>
      <c r="P62" s="19">
        <f t="shared" si="5"/>
        <v>-6.489544757099253</v>
      </c>
      <c r="Q62" s="20">
        <f t="shared" si="6"/>
        <v>0.95835875447527974</v>
      </c>
      <c r="R62" s="170"/>
      <c r="S62" s="27"/>
      <c r="T62" s="27"/>
      <c r="U62" s="16"/>
      <c r="V62" s="21"/>
      <c r="W62" s="16"/>
      <c r="X62" s="16"/>
      <c r="Y62" s="30">
        <f>SUM(Y57:Y61)</f>
        <v>0</v>
      </c>
      <c r="Z62" s="30">
        <f>SUM(Z57:Z61)</f>
        <v>0</v>
      </c>
      <c r="AA62" s="166"/>
      <c r="AB62" s="166"/>
      <c r="AC62" s="30">
        <v>5</v>
      </c>
      <c r="AD62" s="30">
        <f>SUM(AD57:AD61)</f>
        <v>0</v>
      </c>
      <c r="AE62" s="18">
        <f t="shared" si="43"/>
        <v>-99.938989259328537</v>
      </c>
      <c r="AF62" s="20">
        <f t="shared" si="9"/>
        <v>0.95835875447527974</v>
      </c>
      <c r="AG62" s="170"/>
    </row>
    <row r="63" spans="1:33">
      <c r="D63" s="41"/>
      <c r="E63" s="41"/>
    </row>
  </sheetData>
  <mergeCells count="177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25:AG30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A31:A36"/>
    <mergeCell ref="C31:D31"/>
    <mergeCell ref="R31:R36"/>
    <mergeCell ref="AA31:AB31"/>
    <mergeCell ref="AA36:AB36"/>
    <mergeCell ref="A25:A30"/>
    <mergeCell ref="C25:D25"/>
    <mergeCell ref="R25:R30"/>
    <mergeCell ref="AA25:AB25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37:A42"/>
    <mergeCell ref="C37:D37"/>
    <mergeCell ref="R37:R42"/>
    <mergeCell ref="AA37:AB37"/>
    <mergeCell ref="C50:D50"/>
    <mergeCell ref="AA50:AB50"/>
    <mergeCell ref="AG37:AG42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A43:A50"/>
    <mergeCell ref="C43:D43"/>
    <mergeCell ref="R43:R50"/>
    <mergeCell ref="AA43:AB43"/>
    <mergeCell ref="AA49:AB49"/>
    <mergeCell ref="AG51:AG56"/>
    <mergeCell ref="C52:D52"/>
    <mergeCell ref="AA52:AB52"/>
    <mergeCell ref="C53:D53"/>
    <mergeCell ref="AG43:AG50"/>
    <mergeCell ref="C44:D44"/>
    <mergeCell ref="AA44:AB44"/>
    <mergeCell ref="C45:D45"/>
    <mergeCell ref="AA45:AB45"/>
    <mergeCell ref="AA46:AB46"/>
    <mergeCell ref="AA47:AB47"/>
    <mergeCell ref="C48:D48"/>
    <mergeCell ref="AA48:AB48"/>
    <mergeCell ref="C49:D49"/>
    <mergeCell ref="AA53:AB53"/>
    <mergeCell ref="C54:D54"/>
    <mergeCell ref="AA54:AB54"/>
    <mergeCell ref="C55:D55"/>
    <mergeCell ref="AA55:AB55"/>
    <mergeCell ref="C56:D56"/>
    <mergeCell ref="A57:A62"/>
    <mergeCell ref="C57:D57"/>
    <mergeCell ref="R57:R62"/>
    <mergeCell ref="AA57:AB57"/>
    <mergeCell ref="A51:A56"/>
    <mergeCell ref="C51:D51"/>
    <mergeCell ref="R51:R56"/>
    <mergeCell ref="AA51:AB51"/>
    <mergeCell ref="AA56:AB56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A62:AB62"/>
  </mergeCells>
  <phoneticPr fontId="3" type="noConversion"/>
  <conditionalFormatting sqref="O5:O62">
    <cfRule type="cellIs" dxfId="234" priority="9" operator="greaterThan">
      <formula>0</formula>
    </cfRule>
  </conditionalFormatting>
  <conditionalFormatting sqref="P5:P62">
    <cfRule type="cellIs" dxfId="233" priority="1" operator="lessThan">
      <formula>0</formula>
    </cfRule>
  </conditionalFormatting>
  <conditionalFormatting sqref="Q5:Q62 AF5:AF62">
    <cfRule type="cellIs" dxfId="232" priority="10" operator="greaterThan">
      <formula>1</formula>
    </cfRule>
    <cfRule type="cellIs" dxfId="231" priority="11" operator="lessThan">
      <formula>0.8</formula>
    </cfRule>
  </conditionalFormatting>
  <conditionalFormatting sqref="R5:R10 AG5:AG10">
    <cfRule type="cellIs" dxfId="230" priority="42" operator="lessThan">
      <formula>0.8</formula>
    </cfRule>
  </conditionalFormatting>
  <conditionalFormatting sqref="AE5:AE62">
    <cfRule type="cellIs" dxfId="229" priority="12" operator="lessThan">
      <formula>0</formula>
    </cfRule>
  </conditionalFormatting>
  <conditionalFormatting sqref="AG13:AG54 R13:R62">
    <cfRule type="cellIs" dxfId="228" priority="13" operator="lessThan">
      <formula>0.8</formula>
    </cfRule>
  </conditionalFormatting>
  <dataValidations count="1">
    <dataValidation type="list" allowBlank="1" showInputMessage="1" showErrorMessage="1" sqref="AB9 AA5:AB8 AB55 AA9:AA55 AB11:AB51 AA56:AB62" xr:uid="{00000000-0002-0000-0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Q32"/>
  <sheetViews>
    <sheetView topLeftCell="A7" zoomScale="85" zoomScaleNormal="85" workbookViewId="0">
      <selection activeCell="B10" sqref="B10:J10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2212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2213</v>
      </c>
      <c r="C3" s="151" t="str">
        <f>TEXT('0326 4度C'!A2,"yyyy.mm.ddaaaa")</f>
        <v>2026.03.26星期四</v>
      </c>
      <c r="D3" s="152"/>
      <c r="E3" s="45" t="s">
        <v>2214</v>
      </c>
      <c r="F3" s="153">
        <f>'0326 4度C'!D1</f>
        <v>142769</v>
      </c>
      <c r="G3" s="154"/>
      <c r="H3" s="45" t="s">
        <v>2215</v>
      </c>
      <c r="I3" s="155">
        <f>'0326 4度C'!F1</f>
        <v>4683216.3599999994</v>
      </c>
      <c r="J3" s="156"/>
      <c r="K3" s="46"/>
      <c r="L3" s="47"/>
      <c r="M3" s="47"/>
      <c r="N3" s="47"/>
    </row>
    <row r="4" spans="2:17" ht="28.5" customHeight="1">
      <c r="B4" s="157" t="s">
        <v>2216</v>
      </c>
      <c r="C4" s="143" t="s">
        <v>2217</v>
      </c>
      <c r="D4" s="144"/>
      <c r="E4" s="160" t="s">
        <v>2218</v>
      </c>
      <c r="F4" s="161"/>
      <c r="G4" s="160" t="s">
        <v>2219</v>
      </c>
      <c r="H4" s="161"/>
      <c r="I4" s="160" t="s">
        <v>2220</v>
      </c>
      <c r="J4" s="161"/>
      <c r="K4" s="141" t="s">
        <v>2221</v>
      </c>
      <c r="L4" s="142"/>
      <c r="M4" s="142" t="s">
        <v>2222</v>
      </c>
      <c r="N4" s="142"/>
    </row>
    <row r="5" spans="2:17" ht="28.5" customHeight="1">
      <c r="B5" s="158"/>
      <c r="C5" s="143" t="s">
        <v>2223</v>
      </c>
      <c r="D5" s="144"/>
      <c r="E5" s="143" t="s">
        <v>2224</v>
      </c>
      <c r="F5" s="144"/>
      <c r="G5" s="145" t="s">
        <v>147</v>
      </c>
      <c r="H5" s="146"/>
      <c r="I5" s="147" t="s">
        <v>2225</v>
      </c>
      <c r="J5" s="148"/>
      <c r="K5" s="48" t="s">
        <v>317</v>
      </c>
      <c r="L5" s="49" t="s">
        <v>2226</v>
      </c>
      <c r="M5" s="48" t="s">
        <v>317</v>
      </c>
      <c r="N5" s="49" t="s">
        <v>2227</v>
      </c>
    </row>
    <row r="6" spans="2:17" ht="28.5" customHeight="1">
      <c r="B6" s="158"/>
      <c r="C6" s="143" t="s">
        <v>153</v>
      </c>
      <c r="D6" s="144"/>
      <c r="E6" s="135">
        <f>AVERAGE(D13:M13)</f>
        <v>155.34991001870998</v>
      </c>
      <c r="F6" s="136">
        <f>AVERAGE(D31:O31,D13:J13)</f>
        <v>161.62444359006778</v>
      </c>
      <c r="G6" s="137">
        <f>AVERAGE(D13:J13)</f>
        <v>161.62444359006778</v>
      </c>
      <c r="H6" s="138"/>
      <c r="I6" s="137">
        <f>AVERAGE(K13:M13)</f>
        <v>140.70933168554168</v>
      </c>
      <c r="J6" s="138"/>
      <c r="K6" s="139">
        <f>'0326 4度C'!Y2</f>
        <v>0</v>
      </c>
      <c r="L6" s="124">
        <f>'0326 4度C'!Z2</f>
        <v>0</v>
      </c>
      <c r="M6" s="140">
        <f>'0326 4度C'!AC2</f>
        <v>50</v>
      </c>
      <c r="N6" s="124">
        <f>'0326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148.6898692030496</v>
      </c>
      <c r="F7" s="128">
        <f>AVERAGE(D32:O32,D14:J14)</f>
        <v>154.82146169098658</v>
      </c>
      <c r="G7" s="129">
        <f>AVERAGE(D14:J14)</f>
        <v>154.82146169098658</v>
      </c>
      <c r="H7" s="130"/>
      <c r="I7" s="129">
        <f>AVERAGE(K14:M14)</f>
        <v>134.38282006452997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0.95631068186608259</v>
      </c>
      <c r="F8" s="132">
        <f>AVERAGE(D15:J15,D33:O33)</f>
        <v>0.95683085028703929</v>
      </c>
      <c r="G8" s="133">
        <f>AVERAGE(D15:J15)</f>
        <v>0.95683085028703929</v>
      </c>
      <c r="H8" s="134"/>
      <c r="I8" s="133">
        <f>AVERAGE(K15:M15)</f>
        <v>0.95509695555051699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2228</v>
      </c>
      <c r="N9" s="47"/>
      <c r="O9" s="47"/>
      <c r="P9" s="47"/>
      <c r="Q9" s="47"/>
    </row>
    <row r="10" spans="2:17" ht="30" customHeight="1">
      <c r="B10" s="107" t="s">
        <v>2229</v>
      </c>
      <c r="C10" s="108"/>
      <c r="D10" s="109" t="s">
        <v>2230</v>
      </c>
      <c r="E10" s="110"/>
      <c r="F10" s="110"/>
      <c r="G10" s="110"/>
      <c r="H10" s="110"/>
      <c r="I10" s="110"/>
      <c r="J10" s="111"/>
      <c r="K10" s="112" t="s">
        <v>2231</v>
      </c>
      <c r="L10" s="113"/>
      <c r="M10" s="114"/>
      <c r="P10" s="53"/>
      <c r="Q10" s="53"/>
    </row>
    <row r="11" spans="2:17" ht="17.25" customHeight="1">
      <c r="B11" s="115" t="s">
        <v>2232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2233</v>
      </c>
      <c r="C13" s="60" t="s">
        <v>2234</v>
      </c>
      <c r="D13" s="61">
        <f>SUMIFS('0326 4度C'!$K:$K,'0326 4度C'!$A:$A,"新豐6線",'0326 4度C'!$B:$B,"平均")</f>
        <v>111.11111111111111</v>
      </c>
      <c r="E13" s="62">
        <f>SUMIFS('0326 4度C'!$K:$K,'0326 4度C'!$A:$A,"新豐2線",'0326 4度C'!$B:$B,"平均")</f>
        <v>84.905660377358487</v>
      </c>
      <c r="F13" s="63">
        <f>SUMIFS('0326 4度C'!$K:$K,'0326 4度C'!$A:$A,"新豐5線",'0326 4度C'!$B:$B,"平均")</f>
        <v>102.73972602739725</v>
      </c>
      <c r="G13" s="63">
        <f>SUMIFS('0326 4度C'!$K:$K,'0326 4度C'!$A:$A,"新豐7線",'0326 4度C'!$B:$B,"平均")</f>
        <v>127.77777777777779</v>
      </c>
      <c r="H13" s="63">
        <f>SUMIFS('0326 4度C'!$K:$K,'0326 4度C'!$A:$A,"新豐3線",'0326 4度C'!$B:$B,"平均")</f>
        <v>333.33333333333331</v>
      </c>
      <c r="I13" s="63">
        <f>SUMIFS('0326 4度C'!$K:$K,'0326 4度C'!$A:$A,"新豐1線",'0326 4度C'!$B:$B,"平均")</f>
        <v>102.27272727272728</v>
      </c>
      <c r="J13" s="64">
        <f>SUMIFS('0326 4度C'!$K:$K,'0326 4度C'!$A:$A,"新豐10線",'0326 4度C'!$B:$B,"平均")</f>
        <v>269.23076923076923</v>
      </c>
      <c r="K13" s="65">
        <f>SUMIFS('0326 4度C'!$K:$K,'0326 4度C'!$A:$A,"新豐8線",'0326 4度C'!$B:$B,"平均")</f>
        <v>130.43478260869566</v>
      </c>
      <c r="L13" s="66">
        <f>SUMIFS('0326 4度C'!$K:$K,'0326 4度C'!$A:$A,"新豐9線",'0326 4度C'!$B:$B,"平均")</f>
        <v>135.84905660377356</v>
      </c>
      <c r="M13" s="64">
        <f>SUMIFS('0326 4度C'!$K:$K,'0326 4度C'!$A:$A,"新豐4線",'0326 4度C'!$B:$B,"平均")</f>
        <v>155.84415584415584</v>
      </c>
    </row>
    <row r="14" spans="2:17" ht="39.6" customHeight="1">
      <c r="B14" s="120"/>
      <c r="C14" s="67" t="s">
        <v>2235</v>
      </c>
      <c r="D14" s="68">
        <f>SUMIFS('0326 4度C'!$N:$N,'0326 4度C'!$A:$A,"新豐6線",'0326 4度C'!$B:$B,"平均")</f>
        <v>104.96825396825398</v>
      </c>
      <c r="E14" s="69">
        <f>SUMIFS('0326 4度C'!$N:$N,'0326 4度C'!$A:$A,"新豐2線",'0326 4度C'!$B:$B,"平均")</f>
        <v>80.944368593809159</v>
      </c>
      <c r="F14" s="69">
        <f>SUMIFS('0326 4度C'!$N:$N,'0326 4度C'!$A:$A,"新豐5線",'0326 4度C'!$B:$B,"平均")</f>
        <v>98.294742680773354</v>
      </c>
      <c r="G14" s="69">
        <f>SUMIFS('0326 4度C'!$N:$N,'0326 4度C'!$A:$A,"新豐7線",'0326 4度C'!$B:$B,"平均")</f>
        <v>122.92500362747475</v>
      </c>
      <c r="H14" s="69">
        <f>SUMIFS('0326 4度C'!$N:$N,'0326 4度C'!$A:$A,"新豐3線",'0326 4度C'!$B:$B,"平均")</f>
        <v>318.79764387474074</v>
      </c>
      <c r="I14" s="69">
        <f>SUMIFS('0326 4度C'!$N:$N,'0326 4度C'!$A:$A,"新豐1線",'0326 4度C'!$B:$B,"平均")</f>
        <v>98.220654331381454</v>
      </c>
      <c r="J14" s="70">
        <f>SUMIFS('0326 4度C'!$N:$N,'0326 4度C'!$A:$A,"新豐10線",'0326 4度C'!$B:$B,"平均")</f>
        <v>259.59956476047284</v>
      </c>
      <c r="K14" s="71">
        <f>SUMIFS('0326 4度C'!$N:$N,'0326 4度C'!$A:$A,"新豐8線",'0326 4度C'!$B:$B,"平均")</f>
        <v>124.47582254509547</v>
      </c>
      <c r="L14" s="72">
        <f>SUMIFS('0326 4度C'!$N:$N,'0326 4度C'!$A:$A,"新豐9線",'0326 4度C'!$B:$B,"平均")</f>
        <v>130.05190824138964</v>
      </c>
      <c r="M14" s="70">
        <f>SUMIFS('0326 4度C'!$N:$N,'0326 4度C'!$A:$A,"新豐4線",'0326 4度C'!$B:$B,"平均")</f>
        <v>148.62072940710485</v>
      </c>
    </row>
    <row r="15" spans="2:17" ht="40.15" customHeight="1">
      <c r="B15" s="121"/>
      <c r="C15" s="73" t="s">
        <v>2236</v>
      </c>
      <c r="D15" s="74">
        <f t="shared" ref="D15:M15" si="0">D14/D13</f>
        <v>0.94471428571428573</v>
      </c>
      <c r="E15" s="75">
        <f t="shared" si="0"/>
        <v>0.95334478566041903</v>
      </c>
      <c r="F15" s="75">
        <f t="shared" si="0"/>
        <v>0.95673549542619407</v>
      </c>
      <c r="G15" s="75">
        <f t="shared" si="0"/>
        <v>0.96202176751936752</v>
      </c>
      <c r="H15" s="75">
        <f t="shared" si="0"/>
        <v>0.95639293162422223</v>
      </c>
      <c r="I15" s="75">
        <f t="shared" si="0"/>
        <v>0.96037973124017417</v>
      </c>
      <c r="J15" s="76">
        <f t="shared" si="0"/>
        <v>0.9642269548246134</v>
      </c>
      <c r="K15" s="74">
        <f t="shared" si="0"/>
        <v>0.95431463951239859</v>
      </c>
      <c r="L15" s="75">
        <f t="shared" si="0"/>
        <v>0.9573265467768961</v>
      </c>
      <c r="M15" s="76">
        <f t="shared" si="0"/>
        <v>0.95364968036225617</v>
      </c>
    </row>
    <row r="16" spans="2:17" ht="17.25" customHeight="1">
      <c r="B16" s="122" t="s">
        <v>2237</v>
      </c>
      <c r="C16" s="77" t="s">
        <v>2238</v>
      </c>
      <c r="D16" s="78">
        <f>VLOOKUP("新豐6線",'0326 4度C'!$A:$T,19,0)</f>
        <v>0.70833333333333337</v>
      </c>
      <c r="E16" s="79">
        <f>VLOOKUP("新豐2線",'0326 4度C'!$A:$T,19,0)</f>
        <v>0.20833333333333334</v>
      </c>
      <c r="F16" s="79">
        <f>VLOOKUP("新豐5線",'0326 4度C'!$A:$T,19,0)</f>
        <v>0.20833333333333334</v>
      </c>
      <c r="G16" s="79">
        <f>VLOOKUP("新豐7線",'0326 4度C'!$A:$T,19,0)</f>
        <v>0.20833333333333334</v>
      </c>
      <c r="H16" s="79">
        <f>VLOOKUP("新豐3線",'0326 4度C'!$A:$T,19,0)</f>
        <v>8.3333333333333329E-2</v>
      </c>
      <c r="I16" s="79">
        <f>VLOOKUP("新豐1線",'0326 4度C'!$A:$T,19,0)</f>
        <v>0.20833333333333334</v>
      </c>
      <c r="J16" s="80">
        <f>VLOOKUP("新豐10線",'0326 4度C'!$A:$T,19,0)</f>
        <v>0.20833333333333334</v>
      </c>
      <c r="K16" s="81">
        <f>VLOOKUP("新豐8線",'0326 4度C'!$A:$T,19,0)</f>
        <v>8.3333333333333329E-2</v>
      </c>
      <c r="L16" s="82">
        <f>VLOOKUP("新豐9線",'0326 4度C'!$A:$T,19,0)</f>
        <v>8.3333333333333329E-2</v>
      </c>
      <c r="M16" s="83">
        <f>VLOOKUP("新豐4線",'0326 4度C'!$A:$T,19,0)</f>
        <v>8.3333333333333329E-2</v>
      </c>
    </row>
    <row r="17" spans="2:13" ht="17.25" customHeight="1">
      <c r="B17" s="123"/>
      <c r="C17" s="77" t="s">
        <v>2239</v>
      </c>
      <c r="D17" s="81">
        <f>LOOKUP(2,1/(('0326 4度C'!$A:$A="新豐6線")*('0326 4度C'!$T:$T&lt;&gt;"")),'0326 4度C'!$T:$T)</f>
        <v>0.80208333333333337</v>
      </c>
      <c r="E17" s="79">
        <f>LOOKUP(2,1/(('0326 4度C'!$A:$A="新豐2線")*('0326 4度C'!$T:$T&lt;&gt;"")),'0326 4度C'!$T:$T)</f>
        <v>0.57013888888888886</v>
      </c>
      <c r="F17" s="79">
        <f>LOOKUP(2,1/(('0326 4度C'!$A:$A="新豐5線")*('0326 4度C'!$T:$T&lt;&gt;"")),'0326 4度C'!$T:$T)</f>
        <v>0.81041666666666656</v>
      </c>
      <c r="G17" s="79">
        <f>LOOKUP(2,1/(('0326 4度C'!$A:$A="新豐7線")*('0326 4度C'!$T:$T&lt;&gt;"")),'0326 4度C'!$T:$T)</f>
        <v>0.82291666666666663</v>
      </c>
      <c r="H17" s="79">
        <f>LOOKUP(2,1/(('0326 4度C'!$A:$A="新豐3線")*('0326 4度C'!$T:$T&lt;&gt;"")),'0326 4度C'!$T:$T)</f>
        <v>0.42083333333333328</v>
      </c>
      <c r="I17" s="79">
        <f>LOOKUP(2,1/(('0326 4度C'!$A:$A="新豐1線")*('0326 4度C'!$T:$T&lt;&gt;"")),'0326 4度C'!$T:$T)</f>
        <v>0.82638888888888895</v>
      </c>
      <c r="J17" s="80">
        <f>LOOKUP(2,1/(('0326 4度C'!$A:$A="新豐10線")*('0326 4度C'!$T:$T&lt;&gt;"")),'0326 4度C'!$T:$T)</f>
        <v>0.42222222222222222</v>
      </c>
      <c r="K17" s="78">
        <f>LOOKUP(2,1/(('0326 4度C'!$A:$A="新豐8線")*('0326 4度C'!$T:$T&lt;&gt;"")),'0326 4度C'!$T:$T)</f>
        <v>0.52083333333333326</v>
      </c>
      <c r="L17" s="79">
        <f>LOOKUP(2,1/(('0326 4度C'!$A:$A="新豐9線")*('0326 4度C'!$T:$T&lt;&gt;"")),'0326 4度C'!$T:$T)</f>
        <v>0.58749999999999991</v>
      </c>
      <c r="M17" s="80">
        <f>LOOKUP(2,1/(('0326 4度C'!$A:$A="新豐4線")*('0326 4度C'!$T:$T&lt;&gt;"")),'0326 4度C'!$T:$T)</f>
        <v>0.52013888888888882</v>
      </c>
    </row>
    <row r="18" spans="2:13" ht="17.25" customHeight="1">
      <c r="B18" s="101" t="s">
        <v>2240</v>
      </c>
      <c r="C18" s="84" t="s">
        <v>2241</v>
      </c>
      <c r="D18" s="85">
        <f>SUMIFS('0326 4度C'!$Y:$Y,'0326 4度C'!$A:$A,"新豐6線",'0326 4度C'!$B:$B,"平均")</f>
        <v>0</v>
      </c>
      <c r="E18" s="86">
        <f>SUMIFS('0326 4度C'!$Y:$Y,'0326 4度C'!$A:$A,"新豐2線",'0326 4度C'!$B:$B,"平均")</f>
        <v>0</v>
      </c>
      <c r="F18" s="86">
        <f>SUMIFS('0326 4度C'!$Y:$Y,'0326 4度C'!$A:$A,"新豐5線",'0326 4度C'!$B:$B,"平均")</f>
        <v>0</v>
      </c>
      <c r="G18" s="86">
        <f>SUMIFS('0326 4度C'!$Y:$Y,'0326 4度C'!$A:$A,"新豐7線",'0326 4度C'!$B:$B,"平均")</f>
        <v>0</v>
      </c>
      <c r="H18" s="86">
        <f>SUMIFS('0326 4度C'!$Y:$Y,'0326 4度C'!$A:$A,"新豐3線",'0326 4度C'!$B:$B,"平均")</f>
        <v>0</v>
      </c>
      <c r="I18" s="86">
        <f>SUMIFS('0326 4度C'!$Y:$Y,'0326 4度C'!$A:$A,"新豐1線",'0326 4度C'!$B:$B,"平均")</f>
        <v>0</v>
      </c>
      <c r="J18" s="87">
        <f>SUMIFS('0326 4度C'!$Y:$Y,'0326 4度C'!$A:$A,"新豐10線",'0326 4度C'!$B:$B,"平均")</f>
        <v>0</v>
      </c>
      <c r="K18" s="88">
        <f>SUMIFS('0326 4度C'!$Y:$Y,'0326 4度C'!$A:$A,"新豐8線",'0326 4度C'!$B:$B,"平均")</f>
        <v>0</v>
      </c>
      <c r="L18" s="86">
        <f>SUMIFS('0326 4度C'!$Y:$Y,'0326 4度C'!$A:$A,"新豐9線",'0326 4度C'!$B:$B,"平均")</f>
        <v>0</v>
      </c>
      <c r="M18" s="87">
        <f>SUMIFS('0326 4度C'!$Y:$Y,'0326 4度C'!$A:$A,"新豐4線",'0326 4度C'!$B:$B,"平均")</f>
        <v>0</v>
      </c>
    </row>
    <row r="19" spans="2:13" ht="17.25" customHeight="1">
      <c r="B19" s="102"/>
      <c r="C19" s="84" t="s">
        <v>2242</v>
      </c>
      <c r="D19" s="85">
        <f>SUMIFS('0326 4度C'!$Z:$Z,'0326 4度C'!$A:$A,"新豐6線",'0326 4度C'!$B:$B,"平均")</f>
        <v>0</v>
      </c>
      <c r="E19" s="86">
        <f>SUMIFS('0326 4度C'!$Z:$Z,'0326 4度C'!$A:$A,"新豐2線",'0326 4度C'!$B:$B,"平均")</f>
        <v>0</v>
      </c>
      <c r="F19" s="86">
        <f>SUMIFS('0326 4度C'!$Z:$Z,'0326 4度C'!$A:$A,"新豐5線",'0326 4度C'!$B:$B,"平均")</f>
        <v>0</v>
      </c>
      <c r="G19" s="86">
        <f>SUMIFS('0326 4度C'!$Z:$Z,'0326 4度C'!$A:$A,"新豐7線",'0326 4度C'!$B:$B,"平均")</f>
        <v>0</v>
      </c>
      <c r="H19" s="86">
        <f>SUMIFS('0326 4度C'!$Z:$Z,'0326 4度C'!$A:$A,"新豐3線",'0326 4度C'!$B:$B,"平均")</f>
        <v>0</v>
      </c>
      <c r="I19" s="86">
        <f>SUMIFS('0326 4度C'!$Z:$Z,'0326 4度C'!$A:$A,"新豐1線",'0326 4度C'!$B:$B,"平均")</f>
        <v>0</v>
      </c>
      <c r="J19" s="87">
        <f>SUMIFS('0326 4度C'!$Z:$Z,'0326 4度C'!$A:$A,"新豐10線",'0326 4度C'!$B:$B,"平均")</f>
        <v>0</v>
      </c>
      <c r="K19" s="88">
        <f>SUMIFS('0326 4度C'!$Z:$Z,'0326 4度C'!$A:$A,"新豐8線",'0326 4度C'!$B:$B,"平均")</f>
        <v>0</v>
      </c>
      <c r="L19" s="86">
        <f>SUMIFS('0326 4度C'!$Z:$Z,'0326 4度C'!$A:$A,"新豐9線",'0326 4度C'!$B:$B,"平均")</f>
        <v>0</v>
      </c>
      <c r="M19" s="87">
        <f>SUMIFS('0326 4度C'!$Z:$Z,'0326 4度C'!$A:$A,"新豐4線",'0326 4度C'!$B:$B,"平均")</f>
        <v>0</v>
      </c>
    </row>
    <row r="20" spans="2:13" ht="17.25" customHeight="1">
      <c r="B20" s="101" t="s">
        <v>2243</v>
      </c>
      <c r="C20" s="84" t="s">
        <v>2241</v>
      </c>
      <c r="D20" s="85">
        <f>SUMIFS('0326 4度C'!$AC:$AC,'0326 4度C'!$A:$A,"新豐6線",'0326 4度C'!$B:$B,"平均")</f>
        <v>4</v>
      </c>
      <c r="E20" s="86">
        <f>SUMIFS('0326 4度C'!$AC:$AC,'0326 4度C'!$A:$A,"新豐2線",'0326 4度C'!$B:$B,"平均")</f>
        <v>3</v>
      </c>
      <c r="F20" s="86">
        <f>SUMIFS('0326 4度C'!$AC:$AC,'0326 4度C'!$A:$A,"新豐5線",'0326 4度C'!$B:$B,"平均")</f>
        <v>4</v>
      </c>
      <c r="G20" s="86">
        <f>SUMIFS('0326 4度C'!$AC:$AC,'0326 4度C'!$A:$A,"新豐7線",'0326 4度C'!$B:$B,"平均")</f>
        <v>6</v>
      </c>
      <c r="H20" s="86">
        <f>SUMIFS('0326 4度C'!$AC:$AC,'0326 4度C'!$A:$A,"新豐3線",'0326 4度C'!$B:$B,"平均")</f>
        <v>5</v>
      </c>
      <c r="I20" s="86">
        <f>SUMIFS('0326 4度C'!$AC:$AC,'0326 4度C'!$A:$A,"新豐1線",'0326 4度C'!$B:$B,"平均")</f>
        <v>7</v>
      </c>
      <c r="J20" s="87">
        <f>SUMIFS('0326 4度C'!$AC:$AC,'0326 4度C'!$A:$A,"新豐10線",'0326 4度C'!$B:$B,"平均")</f>
        <v>5</v>
      </c>
      <c r="K20" s="88">
        <f>SUMIFS('0326 4度C'!$AC:$AC,'0326 4度C'!$A:$A,"新豐8線",'0326 4度C'!$B:$B,"平均")</f>
        <v>5</v>
      </c>
      <c r="L20" s="86">
        <f>SUMIFS('0326 4度C'!$AC:$AC,'0326 4度C'!$A:$A,"新豐9線",'0326 4度C'!$B:$B,"平均")</f>
        <v>6</v>
      </c>
      <c r="M20" s="87">
        <f>SUMIFS('0326 4度C'!$AC:$AC,'0326 4度C'!$A:$A,"新豐4線",'0326 4度C'!$B:$B,"平均")</f>
        <v>5</v>
      </c>
    </row>
    <row r="21" spans="2:13" ht="17.25" customHeight="1">
      <c r="B21" s="102"/>
      <c r="C21" s="84" t="s">
        <v>2244</v>
      </c>
      <c r="D21" s="85">
        <f>SUMIFS('0326 4度C'!$AD:$AD,'0326 4度C'!$A:$A,"新豐6線",'0326 4度C'!$B:$B,"平均")</f>
        <v>0</v>
      </c>
      <c r="E21" s="86">
        <f>SUMIFS('0326 4度C'!$AD:$AD,'0326 4度C'!$A:$A,"新豐2線",'0326 4度C'!$B:$B,"平均")</f>
        <v>0</v>
      </c>
      <c r="F21" s="86">
        <f>SUMIFS('0326 4度C'!$AD:$AD,'0326 4度C'!$A:$A,"新豐5線",'0326 4度C'!$B:$B,"平均")</f>
        <v>0</v>
      </c>
      <c r="G21" s="86">
        <f>SUMIFS('0326 4度C'!$AD:$AD,'0326 4度C'!$A:$A,"新豐7線",'0326 4度C'!$B:$B,"平均")</f>
        <v>0</v>
      </c>
      <c r="H21" s="86">
        <f>SUMIFS('0326 4度C'!$AD:$AD,'0326 4度C'!$A:$A,"新豐3線",'0326 4度C'!$B:$B,"平均")</f>
        <v>0</v>
      </c>
      <c r="I21" s="86">
        <f>SUMIFS('0326 4度C'!$AD:$AD,'0326 4度C'!$A:$A,"新豐1線",'0326 4度C'!$B:$B,"平均")</f>
        <v>0</v>
      </c>
      <c r="J21" s="87">
        <f>SUMIFS('0326 4度C'!$AD:$AD,'0326 4度C'!$A:$A,"新豐10線",'0326 4度C'!$B:$B,"平均")</f>
        <v>0</v>
      </c>
      <c r="K21" s="88">
        <f>SUMIFS('0326 4度C'!$AD:$AD,'0326 4度C'!$A:$A,"新豐8線",'0326 4度C'!$B:$B,"平均")</f>
        <v>0</v>
      </c>
      <c r="L21" s="86">
        <f>SUMIFS('0326 4度C'!$AD:$AD,'0326 4度C'!$A:$A,"新豐9線",'0326 4度C'!$B:$B,"平均")</f>
        <v>0</v>
      </c>
      <c r="M21" s="87">
        <f>SUMIFS('0326 4度C'!$AD:$AD,'0326 4度C'!$A:$A,"新豐4線",'0326 4度C'!$B:$B,"平均")</f>
        <v>0</v>
      </c>
    </row>
    <row r="22" spans="2:13" ht="17.25" customHeight="1">
      <c r="B22" s="103" t="s">
        <v>2245</v>
      </c>
      <c r="C22" s="104"/>
      <c r="D22" s="89">
        <f>SUMIFS('0326 4度C'!$I:$I,'0326 4度C'!$A:$A,"新豐6線",'0326 4度C'!$B:$B,"平均")</f>
        <v>18</v>
      </c>
      <c r="E22" s="90">
        <f>SUMIFS('0326 4度C'!$I:$I,'0326 4度C'!$A:$A,"新豐2線",'0326 4度C'!$B:$B,"平均")</f>
        <v>17.666666666666668</v>
      </c>
      <c r="F22" s="90">
        <f>SUMIFS('0326 4度C'!$I:$I,'0326 4度C'!$A:$A,"新豐5線",'0326 4度C'!$B:$B,"平均")</f>
        <v>18.25</v>
      </c>
      <c r="G22" s="90">
        <f>SUMIFS('0326 4度C'!$I:$I,'0326 4度C'!$A:$A,"新豐7線",'0326 4度C'!$B:$B,"平均")</f>
        <v>15</v>
      </c>
      <c r="H22" s="90">
        <f>SUMIFS('0326 4度C'!$I:$I,'0326 4度C'!$A:$A,"新豐3線",'0326 4度C'!$B:$B,"平均")</f>
        <v>9</v>
      </c>
      <c r="I22" s="90">
        <f>SUMIFS('0326 4度C'!$I:$I,'0326 4度C'!$A:$A,"新豐1線",'0326 4度C'!$B:$B,"平均")</f>
        <v>18.857142857142858</v>
      </c>
      <c r="J22" s="91">
        <f>SUMIFS('0326 4度C'!$I:$I,'0326 4度C'!$A:$A,"新豐10線",'0326 4度C'!$B:$B,"平均")</f>
        <v>10.4</v>
      </c>
      <c r="K22" s="89">
        <f>SUMIFS('0326 4度C'!$I:$I,'0326 4度C'!$A:$A,"新豐8線",'0326 4度C'!$B:$B,"平均")</f>
        <v>18.399999999999999</v>
      </c>
      <c r="L22" s="90">
        <f>SUMIFS('0326 4度C'!$I:$I,'0326 4度C'!$A:$A,"新豐9線",'0326 4度C'!$B:$B,"平均")</f>
        <v>17.666666666666668</v>
      </c>
      <c r="M22" s="91">
        <f>SUMIFS('0326 4度C'!$I:$I,'0326 4度C'!$A:$A,"新豐4線",'0326 4度C'!$B:$B,"平均")</f>
        <v>15.4</v>
      </c>
    </row>
    <row r="23" spans="2:13" ht="17.25" customHeight="1">
      <c r="B23" s="103" t="s">
        <v>2246</v>
      </c>
      <c r="C23" s="104"/>
      <c r="D23" s="92" t="s">
        <v>185</v>
      </c>
      <c r="E23" s="93" t="s">
        <v>186</v>
      </c>
      <c r="F23" s="93" t="s">
        <v>2247</v>
      </c>
      <c r="G23" s="93" t="s">
        <v>2247</v>
      </c>
      <c r="H23" s="93" t="s">
        <v>188</v>
      </c>
      <c r="I23" s="93" t="s">
        <v>185</v>
      </c>
      <c r="J23" s="94" t="s">
        <v>188</v>
      </c>
      <c r="K23" s="92" t="s">
        <v>2248</v>
      </c>
      <c r="L23" s="93" t="s">
        <v>2248</v>
      </c>
      <c r="M23" s="94" t="s">
        <v>2248</v>
      </c>
    </row>
    <row r="24" spans="2:13" ht="17.25" customHeight="1">
      <c r="B24" s="103" t="s">
        <v>2249</v>
      </c>
      <c r="C24" s="104"/>
      <c r="D24" s="92"/>
      <c r="E24" s="93"/>
      <c r="F24" s="93" t="s">
        <v>2250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2251</v>
      </c>
      <c r="C25" s="106"/>
      <c r="D25" s="95"/>
      <c r="E25" s="96" t="s">
        <v>2252</v>
      </c>
      <c r="F25" s="99" t="s">
        <v>2253</v>
      </c>
      <c r="G25" s="100"/>
      <c r="H25" s="96" t="s">
        <v>2254</v>
      </c>
      <c r="I25" s="96" t="s">
        <v>2255</v>
      </c>
      <c r="J25" s="97" t="s">
        <v>2254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2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activeCell="D10" sqref="D10:J10"/>
      <selection pane="bottomLeft" activeCell="C10" sqref="C10:J10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2256</v>
      </c>
      <c r="B1" s="1"/>
      <c r="C1" s="2" t="s">
        <v>2257</v>
      </c>
      <c r="D1" s="3">
        <f>SUM(F5:F64)</f>
        <v>142769</v>
      </c>
      <c r="E1" s="4" t="s">
        <v>2258</v>
      </c>
      <c r="F1" s="1">
        <f>SUM(G5:G64)</f>
        <v>4683216.3599999994</v>
      </c>
      <c r="G1" s="1" t="s">
        <v>2259</v>
      </c>
      <c r="H1" s="5">
        <f>L9+L13+L44+L52+L18+L58+L31+L38+L25+L64</f>
        <v>158.64047619047619</v>
      </c>
      <c r="I1" s="212" t="s">
        <v>2260</v>
      </c>
      <c r="J1" s="212"/>
      <c r="K1" s="212"/>
      <c r="L1" s="212" t="s">
        <v>2261</v>
      </c>
      <c r="M1" s="212"/>
      <c r="N1" s="212"/>
      <c r="O1" s="212" t="s">
        <v>2262</v>
      </c>
      <c r="P1" s="212"/>
      <c r="Q1" s="212"/>
      <c r="R1" s="212"/>
      <c r="S1" s="212" t="s">
        <v>2263</v>
      </c>
      <c r="T1" s="212"/>
      <c r="U1" s="212"/>
      <c r="V1" s="212"/>
      <c r="W1" s="212"/>
      <c r="X1" s="212"/>
      <c r="Y1" s="6" t="s">
        <v>2264</v>
      </c>
      <c r="Z1" s="7" t="s">
        <v>2265</v>
      </c>
      <c r="AA1" s="213" t="s">
        <v>2266</v>
      </c>
      <c r="AB1" s="213"/>
      <c r="AC1" s="42" t="s">
        <v>2267</v>
      </c>
      <c r="AD1" s="7" t="s">
        <v>2268</v>
      </c>
      <c r="AE1" s="212" t="s">
        <v>2269</v>
      </c>
      <c r="AF1" s="214"/>
      <c r="AG1" s="214"/>
    </row>
    <row r="2" spans="1:33" ht="26.25" customHeight="1">
      <c r="A2" s="33">
        <v>46107</v>
      </c>
      <c r="B2" s="34" t="s">
        <v>564</v>
      </c>
      <c r="C2" s="2" t="s">
        <v>2270</v>
      </c>
      <c r="D2" s="9">
        <f>AVERAGE(N9,N13,N44,N52,N18,N58,N25,N31,N38,N64)</f>
        <v>148.6898692030496</v>
      </c>
      <c r="E2" s="10" t="s">
        <v>14</v>
      </c>
      <c r="F2" s="11">
        <f>F1/D1</f>
        <v>32.802753819106385</v>
      </c>
      <c r="G2" s="1" t="s">
        <v>2271</v>
      </c>
      <c r="H2" s="12">
        <f>COUNT(H5:H64)</f>
        <v>2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SUM(Y9+Y13+Y18+Y25+Y31+Y38+Y44+Y52+Y58+Y64)</f>
        <v>0</v>
      </c>
      <c r="Z2" s="13">
        <f>SUM(Z9+Z13+Z18+Z25+Z31+Z38+Z44+Z52+Z58+Z64)</f>
        <v>0</v>
      </c>
      <c r="AA2" s="213"/>
      <c r="AB2" s="213"/>
      <c r="AC2" s="13">
        <f>SUM(AC9+AC13+AC18+AC25+AC31+AC38+AC44+AC52+AC58+AC64)</f>
        <v>50</v>
      </c>
      <c r="AD2" s="13">
        <f>SUM(AD9+AD13+AD18+AD25+AD31+AD38+AD44+AD52+AD58+AD64)</f>
        <v>0</v>
      </c>
      <c r="AE2" s="214"/>
      <c r="AF2" s="214"/>
      <c r="AG2" s="214"/>
    </row>
    <row r="3" spans="1:33" ht="40.5" customHeight="1">
      <c r="A3" s="162" t="s">
        <v>2272</v>
      </c>
      <c r="B3" s="162" t="s">
        <v>2273</v>
      </c>
      <c r="C3" s="162" t="s">
        <v>2274</v>
      </c>
      <c r="D3" s="162"/>
      <c r="E3" s="210" t="s">
        <v>2275</v>
      </c>
      <c r="F3" s="162" t="s">
        <v>2276</v>
      </c>
      <c r="G3" s="210" t="s">
        <v>2277</v>
      </c>
      <c r="H3" s="204" t="s">
        <v>2278</v>
      </c>
      <c r="I3" s="202" t="s">
        <v>2279</v>
      </c>
      <c r="J3" s="199" t="s">
        <v>2280</v>
      </c>
      <c r="K3" s="209" t="s">
        <v>2270</v>
      </c>
      <c r="L3" s="202" t="s">
        <v>2279</v>
      </c>
      <c r="M3" s="199" t="s">
        <v>2280</v>
      </c>
      <c r="N3" s="209" t="s">
        <v>2270</v>
      </c>
      <c r="O3" s="202" t="s">
        <v>2279</v>
      </c>
      <c r="P3" s="209" t="s">
        <v>2270</v>
      </c>
      <c r="Q3" s="200" t="s">
        <v>2281</v>
      </c>
      <c r="R3" s="178" t="s">
        <v>2282</v>
      </c>
      <c r="S3" s="162" t="s">
        <v>27</v>
      </c>
      <c r="T3" s="162"/>
      <c r="U3" s="204" t="s">
        <v>28</v>
      </c>
      <c r="V3" s="204" t="s">
        <v>2283</v>
      </c>
      <c r="W3" s="162" t="s">
        <v>2284</v>
      </c>
      <c r="X3" s="162"/>
      <c r="Y3" s="205" t="s">
        <v>2285</v>
      </c>
      <c r="Z3" s="166"/>
      <c r="AA3" s="206" t="s">
        <v>2286</v>
      </c>
      <c r="AB3" s="207"/>
      <c r="AC3" s="205" t="s">
        <v>2287</v>
      </c>
      <c r="AD3" s="166"/>
      <c r="AE3" s="199" t="s">
        <v>2288</v>
      </c>
      <c r="AF3" s="200" t="s">
        <v>2289</v>
      </c>
      <c r="AG3" s="178" t="s">
        <v>2290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2291</v>
      </c>
      <c r="X4" s="4" t="s">
        <v>2292</v>
      </c>
      <c r="Y4" s="14" t="s">
        <v>2293</v>
      </c>
      <c r="Z4" s="14" t="s">
        <v>2294</v>
      </c>
      <c r="AA4" s="208"/>
      <c r="AB4" s="207"/>
      <c r="AC4" s="14" t="s">
        <v>2295</v>
      </c>
      <c r="AD4" s="14" t="s">
        <v>2296</v>
      </c>
      <c r="AE4" s="199"/>
      <c r="AF4" s="200"/>
      <c r="AG4" s="178"/>
    </row>
    <row r="5" spans="1:33">
      <c r="A5" s="201" t="s">
        <v>2297</v>
      </c>
      <c r="B5" s="35" t="s">
        <v>78</v>
      </c>
      <c r="C5" s="203" t="s">
        <v>79</v>
      </c>
      <c r="D5" s="203"/>
      <c r="E5" s="35">
        <v>50.67</v>
      </c>
      <c r="F5" s="4">
        <v>1124</v>
      </c>
      <c r="G5" s="4">
        <f t="shared" ref="G5:G8" si="0">E5*F5</f>
        <v>56953.08</v>
      </c>
      <c r="H5" s="21" t="s">
        <v>133</v>
      </c>
      <c r="I5" s="15">
        <v>17</v>
      </c>
      <c r="J5" s="17">
        <v>2000</v>
      </c>
      <c r="K5" s="16">
        <f t="shared" ref="K5:K64" si="1">J5/I5</f>
        <v>117.64705882352941</v>
      </c>
      <c r="L5" s="15">
        <v>17</v>
      </c>
      <c r="M5" s="17">
        <f t="shared" ref="M5:M8" si="2">F5/V5*60</f>
        <v>1926.8571428571406</v>
      </c>
      <c r="N5" s="16">
        <f t="shared" ref="N5:N64" si="3">M5/L5</f>
        <v>113.34453781512592</v>
      </c>
      <c r="O5" s="18">
        <f t="shared" ref="O5:O64" si="4">L5-I5</f>
        <v>0</v>
      </c>
      <c r="P5" s="19">
        <f t="shared" ref="P5:P64" si="5">N5-K5</f>
        <v>-4.3025210084034882</v>
      </c>
      <c r="Q5" s="20">
        <f t="shared" ref="Q5:Q64" si="6">N5/K5</f>
        <v>0.9634285714285703</v>
      </c>
      <c r="R5" s="170">
        <f>Q9</f>
        <v>0.94471428571428573</v>
      </c>
      <c r="S5" s="27">
        <v>0.70833333333333337</v>
      </c>
      <c r="T5" s="27">
        <v>0.73263888888888895</v>
      </c>
      <c r="U5" s="4"/>
      <c r="V5" s="21">
        <f t="shared" ref="V5:V8" si="7">(T5-S5)*24*60</f>
        <v>35.000000000000036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1" si="8">M5-J5</f>
        <v>-73.142857142859384</v>
      </c>
      <c r="AF5" s="20">
        <f t="shared" ref="AF5:AF64" si="9">M5/J5</f>
        <v>0.9634285714285703</v>
      </c>
      <c r="AG5" s="170">
        <f>AF9</f>
        <v>0.94471428571428573</v>
      </c>
    </row>
    <row r="6" spans="1:33">
      <c r="A6" s="202" t="s">
        <v>2297</v>
      </c>
      <c r="B6" s="35" t="s">
        <v>78</v>
      </c>
      <c r="C6" s="203" t="s">
        <v>80</v>
      </c>
      <c r="D6" s="203"/>
      <c r="E6" s="35">
        <v>54.09</v>
      </c>
      <c r="F6" s="4">
        <v>954</v>
      </c>
      <c r="G6" s="4">
        <f t="shared" si="0"/>
        <v>51601.86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1907.9999999999966</v>
      </c>
      <c r="N6" s="16">
        <f t="shared" si="3"/>
        <v>100.42105263157877</v>
      </c>
      <c r="O6" s="18">
        <f t="shared" si="4"/>
        <v>0</v>
      </c>
      <c r="P6" s="19">
        <f t="shared" si="5"/>
        <v>-4.8421052631580608</v>
      </c>
      <c r="Q6" s="20">
        <f t="shared" si="6"/>
        <v>0.9539999999999984</v>
      </c>
      <c r="R6" s="170"/>
      <c r="S6" s="27">
        <v>0.7368055555555556</v>
      </c>
      <c r="T6" s="27">
        <v>0.75763888888888897</v>
      </c>
      <c r="U6" s="4">
        <f t="shared" ref="U6:U8" si="10">IF(S6=TIME(17,0,0),"",(S6-T5)*24*60)</f>
        <v>5.9999999999999787</v>
      </c>
      <c r="V6" s="21">
        <f t="shared" si="7"/>
        <v>30.000000000000053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-92.000000000003411</v>
      </c>
      <c r="AF6" s="20">
        <f t="shared" si="9"/>
        <v>0.95399999999999829</v>
      </c>
      <c r="AG6" s="170"/>
    </row>
    <row r="7" spans="1:33">
      <c r="A7" s="202" t="s">
        <v>2297</v>
      </c>
      <c r="B7" s="35" t="s">
        <v>78</v>
      </c>
      <c r="C7" s="197" t="s">
        <v>82</v>
      </c>
      <c r="D7" s="198"/>
      <c r="E7" s="35">
        <v>50.67</v>
      </c>
      <c r="F7" s="4">
        <v>211</v>
      </c>
      <c r="G7" s="4">
        <f t="shared" si="0"/>
        <v>10691.37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1808.571428571435</v>
      </c>
      <c r="N7" s="16">
        <f t="shared" si="3"/>
        <v>86.12244897959215</v>
      </c>
      <c r="O7" s="18">
        <f t="shared" si="4"/>
        <v>0</v>
      </c>
      <c r="P7" s="19">
        <f t="shared" si="5"/>
        <v>-9.1156462585030908</v>
      </c>
      <c r="Q7" s="20">
        <f t="shared" si="6"/>
        <v>0.90428571428571758</v>
      </c>
      <c r="R7" s="170"/>
      <c r="S7" s="27">
        <v>0.76319444444444451</v>
      </c>
      <c r="T7" s="27">
        <v>0.7680555555555556</v>
      </c>
      <c r="U7" s="4">
        <f t="shared" si="10"/>
        <v>7.9999999999999716</v>
      </c>
      <c r="V7" s="21">
        <f t="shared" si="7"/>
        <v>6.9999999999999751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-191.42857142856496</v>
      </c>
      <c r="AF7" s="20">
        <f t="shared" si="9"/>
        <v>0.90428571428571747</v>
      </c>
      <c r="AG7" s="170"/>
    </row>
    <row r="8" spans="1:33">
      <c r="A8" s="202" t="s">
        <v>2297</v>
      </c>
      <c r="B8" s="35" t="s">
        <v>78</v>
      </c>
      <c r="C8" s="197" t="s">
        <v>91</v>
      </c>
      <c r="D8" s="198"/>
      <c r="E8" s="35">
        <v>50.67</v>
      </c>
      <c r="F8" s="4">
        <v>1340</v>
      </c>
      <c r="G8" s="4">
        <f t="shared" si="0"/>
        <v>67897.8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1914.2857142857138</v>
      </c>
      <c r="N8" s="16">
        <f t="shared" si="3"/>
        <v>127.61904761904758</v>
      </c>
      <c r="O8" s="18">
        <f t="shared" si="4"/>
        <v>0</v>
      </c>
      <c r="P8" s="19">
        <f t="shared" si="5"/>
        <v>-5.714285714285765</v>
      </c>
      <c r="Q8" s="20">
        <f t="shared" si="6"/>
        <v>0.95714285714285674</v>
      </c>
      <c r="R8" s="170"/>
      <c r="S8" s="27">
        <v>0.7729166666666667</v>
      </c>
      <c r="T8" s="27">
        <v>0.80208333333333337</v>
      </c>
      <c r="U8" s="4">
        <f t="shared" si="10"/>
        <v>6.9999999999999751</v>
      </c>
      <c r="V8" s="21">
        <f t="shared" si="7"/>
        <v>42.000000000000014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-85.714285714286234</v>
      </c>
      <c r="AF8" s="20">
        <f t="shared" si="9"/>
        <v>0.95714285714285685</v>
      </c>
      <c r="AG8" s="170"/>
    </row>
    <row r="9" spans="1:33">
      <c r="A9" s="202" t="s">
        <v>2297</v>
      </c>
      <c r="B9" s="35" t="s">
        <v>2298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1889.4285714285716</v>
      </c>
      <c r="N9" s="16">
        <f t="shared" si="3"/>
        <v>104.96825396825398</v>
      </c>
      <c r="O9" s="18">
        <f t="shared" si="4"/>
        <v>0</v>
      </c>
      <c r="P9" s="19">
        <f t="shared" si="5"/>
        <v>-6.1428571428571388</v>
      </c>
      <c r="Q9" s="20">
        <f t="shared" si="6"/>
        <v>0.94471428571428573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f>SUM(AC5:AC8)</f>
        <v>4</v>
      </c>
      <c r="AD9" s="30">
        <f>SUM(AD5:AD8)</f>
        <v>0</v>
      </c>
      <c r="AE9" s="18">
        <f t="shared" si="8"/>
        <v>-110.57142857142844</v>
      </c>
      <c r="AF9" s="20">
        <f t="shared" si="9"/>
        <v>0.94471428571428573</v>
      </c>
      <c r="AG9" s="170"/>
    </row>
    <row r="10" spans="1:33" ht="15.75" customHeight="1">
      <c r="A10" s="196" t="s">
        <v>2299</v>
      </c>
      <c r="B10" s="35" t="s">
        <v>84</v>
      </c>
      <c r="C10" s="197" t="s">
        <v>85</v>
      </c>
      <c r="D10" s="198"/>
      <c r="E10" s="35">
        <v>39.619999999999997</v>
      </c>
      <c r="F10" s="4">
        <v>4236</v>
      </c>
      <c r="G10" s="4">
        <f t="shared" ref="G10:G12" si="11">E10*F10</f>
        <v>167830.31999999998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1427.8651685393254</v>
      </c>
      <c r="N10" s="16">
        <f t="shared" si="3"/>
        <v>75.150798344175016</v>
      </c>
      <c r="O10" s="18">
        <f t="shared" si="4"/>
        <v>0</v>
      </c>
      <c r="P10" s="19">
        <f t="shared" si="5"/>
        <v>-3.7965700768776145</v>
      </c>
      <c r="Q10" s="20">
        <f t="shared" si="6"/>
        <v>0.95191011235955025</v>
      </c>
      <c r="R10" s="170">
        <f>Q13</f>
        <v>0.95334478566041903</v>
      </c>
      <c r="S10" s="27">
        <v>0.20833333333333334</v>
      </c>
      <c r="T10" s="27">
        <v>0.33194444444444449</v>
      </c>
      <c r="U10" s="4"/>
      <c r="V10" s="21">
        <f t="shared" ref="V10:V12" si="13">(T10-S10)*24*60</f>
        <v>178.00000000000006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-72.134831460674604</v>
      </c>
      <c r="AF10" s="20">
        <f t="shared" si="9"/>
        <v>0.95191011235955025</v>
      </c>
      <c r="AG10" s="170">
        <f>AF13</f>
        <v>0.95334478566041903</v>
      </c>
    </row>
    <row r="11" spans="1:33" ht="15.75" customHeight="1">
      <c r="A11" s="196" t="s">
        <v>2299</v>
      </c>
      <c r="B11" s="35" t="s">
        <v>84</v>
      </c>
      <c r="C11" s="197" t="s">
        <v>86</v>
      </c>
      <c r="D11" s="198"/>
      <c r="E11" s="35">
        <v>39.799999999999997</v>
      </c>
      <c r="F11" s="4">
        <v>4700</v>
      </c>
      <c r="G11" s="4">
        <f t="shared" si="11"/>
        <v>187060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1431.4720812182745</v>
      </c>
      <c r="N11" s="16">
        <f t="shared" si="3"/>
        <v>84.204240071663207</v>
      </c>
      <c r="O11" s="18">
        <f t="shared" si="4"/>
        <v>0</v>
      </c>
      <c r="P11" s="19">
        <f t="shared" si="5"/>
        <v>-4.0310540459838506</v>
      </c>
      <c r="Q11" s="20">
        <f t="shared" si="6"/>
        <v>0.95431472081218305</v>
      </c>
      <c r="R11" s="170"/>
      <c r="S11" s="27">
        <v>0.33680555555555558</v>
      </c>
      <c r="T11" s="27">
        <v>0.47361111111111109</v>
      </c>
      <c r="U11" s="4">
        <f t="shared" ref="U11:U12" si="14">IF(S11=TIME(17,0,0),"",(S11-T10)*24*60)</f>
        <v>6.9999999999999751</v>
      </c>
      <c r="V11" s="21">
        <f t="shared" si="13"/>
        <v>196.99999999999994</v>
      </c>
      <c r="W11" s="22">
        <f>T11</f>
        <v>0.47361111111111109</v>
      </c>
      <c r="X11" s="22">
        <f>S12</f>
        <v>0.51180555555555551</v>
      </c>
      <c r="Y11" s="22"/>
      <c r="Z11" s="22"/>
      <c r="AA11" s="162"/>
      <c r="AB11" s="162"/>
      <c r="AC11" s="24"/>
      <c r="AD11" s="24"/>
      <c r="AE11" s="18">
        <f t="shared" si="8"/>
        <v>-68.527918781725475</v>
      </c>
      <c r="AF11" s="20">
        <f t="shared" si="9"/>
        <v>0.95431472081218305</v>
      </c>
      <c r="AG11" s="170"/>
    </row>
    <row r="12" spans="1:33" ht="15.75" customHeight="1">
      <c r="A12" s="196" t="s">
        <v>2299</v>
      </c>
      <c r="B12" s="35" t="s">
        <v>84</v>
      </c>
      <c r="C12" s="197" t="s">
        <v>86</v>
      </c>
      <c r="D12" s="198"/>
      <c r="E12" s="35">
        <v>39.799999999999997</v>
      </c>
      <c r="F12" s="4">
        <v>2003</v>
      </c>
      <c r="G12" s="4">
        <f t="shared" si="11"/>
        <v>79719.399999999994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1430.7142857142853</v>
      </c>
      <c r="N12" s="16">
        <f t="shared" si="3"/>
        <v>84.159663865546193</v>
      </c>
      <c r="O12" s="18">
        <f t="shared" si="4"/>
        <v>0</v>
      </c>
      <c r="P12" s="19">
        <f t="shared" si="5"/>
        <v>-4.0756302521008649</v>
      </c>
      <c r="Q12" s="20">
        <f t="shared" si="6"/>
        <v>0.95380952380952355</v>
      </c>
      <c r="R12" s="170"/>
      <c r="S12" s="27">
        <v>0.51180555555555551</v>
      </c>
      <c r="T12" s="27">
        <v>0.57013888888888886</v>
      </c>
      <c r="U12" s="4">
        <f t="shared" si="14"/>
        <v>54.999999999999964</v>
      </c>
      <c r="V12" s="21">
        <f t="shared" si="13"/>
        <v>84.000000000000028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-69.285714285714675</v>
      </c>
      <c r="AF12" s="20">
        <f t="shared" si="9"/>
        <v>0.95380952380952355</v>
      </c>
      <c r="AG12" s="170"/>
    </row>
    <row r="13" spans="1:33" ht="16.5" customHeight="1">
      <c r="A13" s="196" t="s">
        <v>2299</v>
      </c>
      <c r="B13" s="35" t="s">
        <v>2298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1430.0171784906286</v>
      </c>
      <c r="N13" s="16">
        <f t="shared" si="3"/>
        <v>80.944368593809159</v>
      </c>
      <c r="O13" s="18">
        <f t="shared" si="4"/>
        <v>0</v>
      </c>
      <c r="P13" s="19">
        <f t="shared" si="5"/>
        <v>-3.9612917835493278</v>
      </c>
      <c r="Q13" s="20">
        <f t="shared" si="6"/>
        <v>0.95334478566041903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f>SUM(AC10:AC12)</f>
        <v>3</v>
      </c>
      <c r="AD13" s="30">
        <f>SUM(AD10:AD12)</f>
        <v>0</v>
      </c>
      <c r="AE13" s="18">
        <f t="shared" si="8"/>
        <v>-69.982821509371433</v>
      </c>
      <c r="AF13" s="20">
        <f t="shared" si="9"/>
        <v>0.95334478566041903</v>
      </c>
      <c r="AG13" s="170"/>
    </row>
    <row r="14" spans="1:33" ht="16.5" customHeight="1">
      <c r="A14" s="194" t="s">
        <v>2300</v>
      </c>
      <c r="B14" s="4" t="s">
        <v>87</v>
      </c>
      <c r="C14" s="190" t="s">
        <v>88</v>
      </c>
      <c r="D14" s="190"/>
      <c r="E14" s="35">
        <v>41</v>
      </c>
      <c r="F14" s="4">
        <v>2320</v>
      </c>
      <c r="G14" s="4">
        <f t="shared" ref="G14:G17" si="15">E14*F14</f>
        <v>95120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1435.0515463917525</v>
      </c>
      <c r="N14" s="16">
        <f t="shared" si="3"/>
        <v>55.194290245836633</v>
      </c>
      <c r="O14" s="18">
        <f t="shared" si="4"/>
        <v>0</v>
      </c>
      <c r="P14" s="19">
        <f t="shared" si="5"/>
        <v>-2.4980174464710601</v>
      </c>
      <c r="Q14" s="20">
        <f t="shared" si="6"/>
        <v>0.95670103092783498</v>
      </c>
      <c r="R14" s="170">
        <f>Q18</f>
        <v>0.95673549542619407</v>
      </c>
      <c r="S14" s="27">
        <v>0.20833333333333334</v>
      </c>
      <c r="T14" s="27">
        <v>0.27569444444444446</v>
      </c>
      <c r="U14" s="4"/>
      <c r="V14" s="21">
        <f t="shared" ref="V14:V17" si="17">(T14-S14)*24*60</f>
        <v>97.000000000000014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-64.948453608247519</v>
      </c>
      <c r="AF14" s="20">
        <f t="shared" si="9"/>
        <v>0.95670103092783498</v>
      </c>
      <c r="AG14" s="170">
        <f>AF18</f>
        <v>0.95673549542619396</v>
      </c>
    </row>
    <row r="15" spans="1:33" ht="16.5" customHeight="1">
      <c r="A15" s="195" t="s">
        <v>2300</v>
      </c>
      <c r="B15" s="4" t="s">
        <v>78</v>
      </c>
      <c r="C15" s="190" t="s">
        <v>89</v>
      </c>
      <c r="D15" s="190"/>
      <c r="E15" s="35">
        <v>50.98</v>
      </c>
      <c r="F15" s="4">
        <v>1951</v>
      </c>
      <c r="G15" s="4">
        <f t="shared" si="15"/>
        <v>99461.98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1919.0163934426248</v>
      </c>
      <c r="N15" s="16">
        <f t="shared" si="3"/>
        <v>119.93852459016405</v>
      </c>
      <c r="O15" s="18">
        <f t="shared" si="4"/>
        <v>0</v>
      </c>
      <c r="P15" s="19">
        <f t="shared" si="5"/>
        <v>-5.0614754098359498</v>
      </c>
      <c r="Q15" s="20">
        <f t="shared" si="6"/>
        <v>0.95950819672131238</v>
      </c>
      <c r="R15" s="170"/>
      <c r="S15" s="27">
        <v>0.70833333333333337</v>
      </c>
      <c r="T15" s="27">
        <v>0.75069444444444444</v>
      </c>
      <c r="U15" s="4" t="str">
        <f t="shared" ref="U15:U17" si="18">IF(S15=TIME(17,0,0),"",(S15-T14)*24*60)</f>
        <v/>
      </c>
      <c r="V15" s="21">
        <f t="shared" si="17"/>
        <v>60.999999999999943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-80.983606557375197</v>
      </c>
      <c r="AF15" s="20">
        <f t="shared" si="9"/>
        <v>0.95950819672131238</v>
      </c>
      <c r="AG15" s="170"/>
    </row>
    <row r="16" spans="1:33" ht="16.5" customHeight="1">
      <c r="A16" s="195" t="s">
        <v>2300</v>
      </c>
      <c r="B16" s="4" t="s">
        <v>78</v>
      </c>
      <c r="C16" s="190" t="s">
        <v>83</v>
      </c>
      <c r="D16" s="190"/>
      <c r="E16" s="35">
        <v>50.67</v>
      </c>
      <c r="F16" s="4">
        <v>472</v>
      </c>
      <c r="G16" s="4">
        <f t="shared" si="15"/>
        <v>23916.240000000002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1888.0000000000068</v>
      </c>
      <c r="N16" s="16">
        <f t="shared" si="3"/>
        <v>118.00000000000043</v>
      </c>
      <c r="O16" s="18">
        <f t="shared" si="4"/>
        <v>0</v>
      </c>
      <c r="P16" s="19">
        <f t="shared" si="5"/>
        <v>-6.9999999999995737</v>
      </c>
      <c r="Q16" s="20">
        <f t="shared" si="6"/>
        <v>0.94400000000000339</v>
      </c>
      <c r="R16" s="170"/>
      <c r="S16" s="27">
        <v>0.75624999999999998</v>
      </c>
      <c r="T16" s="27">
        <v>0.76666666666666661</v>
      </c>
      <c r="U16" s="4">
        <f t="shared" si="18"/>
        <v>7.9999999999999716</v>
      </c>
      <c r="V16" s="21">
        <f t="shared" si="17"/>
        <v>14.999999999999947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-111.99999999999318</v>
      </c>
      <c r="AF16" s="20">
        <f t="shared" si="9"/>
        <v>0.94400000000000339</v>
      </c>
      <c r="AG16" s="170"/>
    </row>
    <row r="17" spans="1:33" ht="16.5" customHeight="1">
      <c r="A17" s="195" t="s">
        <v>2300</v>
      </c>
      <c r="B17" s="4" t="s">
        <v>78</v>
      </c>
      <c r="C17" s="190" t="s">
        <v>90</v>
      </c>
      <c r="D17" s="190"/>
      <c r="E17" s="35">
        <v>50.92</v>
      </c>
      <c r="F17" s="4">
        <v>1869</v>
      </c>
      <c r="G17" s="4">
        <f t="shared" si="15"/>
        <v>95169.48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1933.4482758620702</v>
      </c>
      <c r="N17" s="16">
        <f t="shared" si="3"/>
        <v>128.89655172413802</v>
      </c>
      <c r="O17" s="18">
        <f t="shared" si="4"/>
        <v>0</v>
      </c>
      <c r="P17" s="19">
        <f t="shared" si="5"/>
        <v>-4.4367816091953216</v>
      </c>
      <c r="Q17" s="20">
        <f t="shared" si="6"/>
        <v>0.96672413793103507</v>
      </c>
      <c r="R17" s="170"/>
      <c r="S17" s="27">
        <v>0.77013888888888882</v>
      </c>
      <c r="T17" s="27">
        <v>0.81041666666666656</v>
      </c>
      <c r="U17" s="4">
        <f t="shared" si="18"/>
        <v>4.9999999999999822</v>
      </c>
      <c r="V17" s="21">
        <f t="shared" si="17"/>
        <v>57.999999999999957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-66.551724137929796</v>
      </c>
      <c r="AF17" s="20">
        <f t="shared" si="9"/>
        <v>0.96672413793103507</v>
      </c>
      <c r="AG17" s="170"/>
    </row>
    <row r="18" spans="1:33" ht="16.5" customHeight="1">
      <c r="A18" s="195" t="s">
        <v>2300</v>
      </c>
      <c r="B18" s="35" t="s">
        <v>2301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1793.8790539241136</v>
      </c>
      <c r="N18" s="16">
        <f t="shared" si="3"/>
        <v>98.294742680773354</v>
      </c>
      <c r="O18" s="18">
        <f t="shared" si="4"/>
        <v>0</v>
      </c>
      <c r="P18" s="19">
        <f t="shared" si="5"/>
        <v>-4.4449833466238999</v>
      </c>
      <c r="Q18" s="20">
        <f t="shared" si="6"/>
        <v>0.95673549542619407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f>SUM(AC14:AC17)</f>
        <v>4</v>
      </c>
      <c r="AD18" s="30">
        <f>SUM(AD14:AD17)</f>
        <v>0</v>
      </c>
      <c r="AE18" s="18">
        <f t="shared" si="8"/>
        <v>-81.120946075886422</v>
      </c>
      <c r="AF18" s="20">
        <f t="shared" si="9"/>
        <v>0.95673549542619396</v>
      </c>
      <c r="AG18" s="170"/>
    </row>
    <row r="19" spans="1:33" ht="15.75" customHeight="1">
      <c r="A19" s="192" t="s">
        <v>2302</v>
      </c>
      <c r="B19" s="35" t="s">
        <v>78</v>
      </c>
      <c r="C19" s="190" t="s">
        <v>92</v>
      </c>
      <c r="D19" s="190"/>
      <c r="E19" s="35">
        <v>57.73</v>
      </c>
      <c r="F19" s="4">
        <v>2083</v>
      </c>
      <c r="G19" s="4">
        <f t="shared" ref="G19:G24" si="19">E19*F19</f>
        <v>120251.59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4" si="20">F19/V19*60</f>
        <v>1922.7692307692314</v>
      </c>
      <c r="N19" s="16">
        <f t="shared" si="3"/>
        <v>137.34065934065939</v>
      </c>
      <c r="O19" s="18">
        <f t="shared" si="4"/>
        <v>0</v>
      </c>
      <c r="P19" s="19">
        <f t="shared" si="5"/>
        <v>-5.5164835164834756</v>
      </c>
      <c r="Q19" s="20">
        <f t="shared" si="6"/>
        <v>0.96138461538461573</v>
      </c>
      <c r="R19" s="170">
        <f>Q25</f>
        <v>0.96202176751936752</v>
      </c>
      <c r="S19" s="27">
        <v>0.20833333333333334</v>
      </c>
      <c r="T19" s="27">
        <v>0.25347222222222221</v>
      </c>
      <c r="U19" s="4"/>
      <c r="V19" s="21">
        <f t="shared" ref="V19:V24" si="21">(T19-S19)*24*60</f>
        <v>64.999999999999972</v>
      </c>
      <c r="W19" s="27"/>
      <c r="X19" s="27"/>
      <c r="Y19" s="27"/>
      <c r="Z19" s="27"/>
      <c r="AA19" s="162"/>
      <c r="AB19" s="162"/>
      <c r="AC19" s="24">
        <v>6</v>
      </c>
      <c r="AD19" s="24"/>
      <c r="AE19" s="18">
        <f t="shared" si="8"/>
        <v>-77.230769230768601</v>
      </c>
      <c r="AF19" s="20">
        <f t="shared" si="9"/>
        <v>0.96138461538461573</v>
      </c>
      <c r="AG19" s="170">
        <f>AF25</f>
        <v>0.96202176751936752</v>
      </c>
    </row>
    <row r="20" spans="1:33" ht="15.75" customHeight="1">
      <c r="A20" s="193" t="s">
        <v>2302</v>
      </c>
      <c r="B20" s="35" t="s">
        <v>78</v>
      </c>
      <c r="C20" s="190" t="s">
        <v>93</v>
      </c>
      <c r="D20" s="190"/>
      <c r="E20" s="35">
        <v>53.68</v>
      </c>
      <c r="F20" s="4">
        <v>1232</v>
      </c>
      <c r="G20" s="4">
        <f t="shared" si="19"/>
        <v>66133.759999999995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1945.2631578947355</v>
      </c>
      <c r="N20" s="16">
        <f t="shared" si="3"/>
        <v>121.57894736842097</v>
      </c>
      <c r="O20" s="18">
        <f t="shared" si="4"/>
        <v>0</v>
      </c>
      <c r="P20" s="19">
        <f t="shared" si="5"/>
        <v>-3.4210526315790304</v>
      </c>
      <c r="Q20" s="20">
        <f t="shared" si="6"/>
        <v>0.97263157894736774</v>
      </c>
      <c r="R20" s="170"/>
      <c r="S20" s="27">
        <v>0.25902777777777775</v>
      </c>
      <c r="T20" s="27">
        <v>0.28541666666666665</v>
      </c>
      <c r="U20" s="4">
        <f t="shared" ref="U20:U24" si="22">IF(S20=TIME(17,0,0),"",(S20-T19)*24*60)</f>
        <v>7.9999999999999716</v>
      </c>
      <c r="V20" s="21">
        <f t="shared" si="21"/>
        <v>38.000000000000028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-54.736842105264486</v>
      </c>
      <c r="AF20" s="20">
        <f t="shared" si="9"/>
        <v>0.97263157894736774</v>
      </c>
      <c r="AG20" s="170"/>
    </row>
    <row r="21" spans="1:33" ht="15.75" customHeight="1">
      <c r="A21" s="193" t="s">
        <v>2302</v>
      </c>
      <c r="B21" s="35" t="s">
        <v>78</v>
      </c>
      <c r="C21" s="190" t="s">
        <v>2127</v>
      </c>
      <c r="D21" s="190"/>
      <c r="E21" s="35">
        <v>48.36</v>
      </c>
      <c r="F21" s="4">
        <v>3100</v>
      </c>
      <c r="G21" s="4">
        <f t="shared" si="19"/>
        <v>149916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1917.525773195877</v>
      </c>
      <c r="N21" s="16">
        <f t="shared" si="3"/>
        <v>119.84536082474231</v>
      </c>
      <c r="O21" s="18">
        <f t="shared" si="4"/>
        <v>0</v>
      </c>
      <c r="P21" s="19">
        <f t="shared" si="5"/>
        <v>-5.1546391752576852</v>
      </c>
      <c r="Q21" s="20">
        <f t="shared" si="6"/>
        <v>0.95876288659793851</v>
      </c>
      <c r="R21" s="170"/>
      <c r="S21" s="27">
        <v>0.29027777777777775</v>
      </c>
      <c r="T21" s="27">
        <v>0.35763888888888884</v>
      </c>
      <c r="U21" s="4">
        <f t="shared" si="22"/>
        <v>6.9999999999999751</v>
      </c>
      <c r="V21" s="21">
        <f t="shared" si="21"/>
        <v>96.999999999999972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-82.474226804122964</v>
      </c>
      <c r="AF21" s="20">
        <f t="shared" si="9"/>
        <v>0.95876288659793851</v>
      </c>
      <c r="AG21" s="170"/>
    </row>
    <row r="22" spans="1:33" ht="15.75" customHeight="1">
      <c r="A22" s="193" t="s">
        <v>2302</v>
      </c>
      <c r="B22" s="35" t="s">
        <v>78</v>
      </c>
      <c r="C22" s="190" t="s">
        <v>94</v>
      </c>
      <c r="D22" s="190"/>
      <c r="E22" s="35">
        <v>50.49</v>
      </c>
      <c r="F22" s="4">
        <v>1643</v>
      </c>
      <c r="G22" s="4">
        <f t="shared" si="19"/>
        <v>82955.070000000007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1932.9411764705892</v>
      </c>
      <c r="N22" s="16">
        <f t="shared" si="3"/>
        <v>128.86274509803928</v>
      </c>
      <c r="O22" s="18">
        <f t="shared" si="4"/>
        <v>0</v>
      </c>
      <c r="P22" s="19">
        <f t="shared" si="5"/>
        <v>-4.4705882352940591</v>
      </c>
      <c r="Q22" s="20">
        <f t="shared" si="6"/>
        <v>0.96647058823529453</v>
      </c>
      <c r="R22" s="170"/>
      <c r="S22" s="27">
        <v>0.70833333333333337</v>
      </c>
      <c r="T22" s="27">
        <v>0.74375000000000002</v>
      </c>
      <c r="U22" s="4" t="str">
        <f t="shared" si="22"/>
        <v/>
      </c>
      <c r="V22" s="21">
        <f t="shared" si="21"/>
        <v>50.999999999999979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-67.058823529410802</v>
      </c>
      <c r="AF22" s="20">
        <f t="shared" si="9"/>
        <v>0.96647058823529464</v>
      </c>
      <c r="AG22" s="170"/>
    </row>
    <row r="23" spans="1:33" ht="15.75" customHeight="1">
      <c r="A23" s="193" t="s">
        <v>2302</v>
      </c>
      <c r="B23" s="35" t="s">
        <v>78</v>
      </c>
      <c r="C23" s="190" t="s">
        <v>96</v>
      </c>
      <c r="D23" s="190"/>
      <c r="E23" s="35">
        <v>57.3</v>
      </c>
      <c r="F23" s="4">
        <v>1467</v>
      </c>
      <c r="G23" s="4">
        <f t="shared" si="19"/>
        <v>84059.099999999991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1913.4782608695652</v>
      </c>
      <c r="N23" s="16">
        <f t="shared" si="3"/>
        <v>147.19063545150502</v>
      </c>
      <c r="O23" s="18">
        <f t="shared" si="4"/>
        <v>0</v>
      </c>
      <c r="P23" s="19">
        <f t="shared" si="5"/>
        <v>-6.6555183946488228</v>
      </c>
      <c r="Q23" s="20">
        <f t="shared" si="6"/>
        <v>0.95673913043478265</v>
      </c>
      <c r="R23" s="170"/>
      <c r="S23" s="27">
        <v>0.74861111111111112</v>
      </c>
      <c r="T23" s="27">
        <v>0.78055555555555556</v>
      </c>
      <c r="U23" s="4">
        <f t="shared" si="22"/>
        <v>6.9999999999999751</v>
      </c>
      <c r="V23" s="21">
        <f t="shared" si="21"/>
        <v>46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-86.521739130434753</v>
      </c>
      <c r="AF23" s="20">
        <f t="shared" si="9"/>
        <v>0.95673913043478265</v>
      </c>
      <c r="AG23" s="170"/>
    </row>
    <row r="24" spans="1:33" ht="15.75" customHeight="1">
      <c r="A24" s="193" t="s">
        <v>2302</v>
      </c>
      <c r="B24" s="35" t="s">
        <v>78</v>
      </c>
      <c r="C24" s="190" t="s">
        <v>95</v>
      </c>
      <c r="D24" s="190"/>
      <c r="E24" s="35">
        <v>53.68</v>
      </c>
      <c r="F24" s="4">
        <v>1312</v>
      </c>
      <c r="G24" s="4">
        <f t="shared" si="19"/>
        <v>70428.160000000003</v>
      </c>
      <c r="H24" s="21" t="s">
        <v>133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1431.2727272727282</v>
      </c>
      <c r="N24" s="16">
        <f t="shared" si="3"/>
        <v>89.45454545454551</v>
      </c>
      <c r="O24" s="18">
        <f t="shared" si="4"/>
        <v>0</v>
      </c>
      <c r="P24" s="19">
        <f t="shared" si="5"/>
        <v>-4.2954545454544899</v>
      </c>
      <c r="Q24" s="20">
        <f t="shared" si="6"/>
        <v>0.9541818181818188</v>
      </c>
      <c r="R24" s="170"/>
      <c r="S24" s="27">
        <v>0.78472222222222221</v>
      </c>
      <c r="T24" s="27">
        <v>0.82291666666666663</v>
      </c>
      <c r="U24" s="4">
        <f t="shared" si="22"/>
        <v>5.9999999999999787</v>
      </c>
      <c r="V24" s="21">
        <f t="shared" si="21"/>
        <v>54.999999999999964</v>
      </c>
      <c r="W24" s="22"/>
      <c r="X24" s="27"/>
      <c r="Y24" s="27"/>
      <c r="Z24" s="27"/>
      <c r="AA24" s="162"/>
      <c r="AB24" s="162"/>
      <c r="AC24" s="24"/>
      <c r="AD24" s="24"/>
      <c r="AE24" s="18">
        <f t="shared" si="8"/>
        <v>-68.727272727271838</v>
      </c>
      <c r="AF24" s="20">
        <f t="shared" si="9"/>
        <v>0.9541818181818188</v>
      </c>
      <c r="AG24" s="170"/>
    </row>
    <row r="25" spans="1:33" ht="15.75" customHeight="1">
      <c r="A25" s="193" t="s">
        <v>2302</v>
      </c>
      <c r="B25" s="35" t="s">
        <v>2301</v>
      </c>
      <c r="C25" s="171"/>
      <c r="D25" s="171"/>
      <c r="E25" s="36"/>
      <c r="F25" s="4"/>
      <c r="G25" s="4"/>
      <c r="H25" s="4"/>
      <c r="I25" s="29">
        <v>15</v>
      </c>
      <c r="J25" s="17">
        <v>1916.6666666666667</v>
      </c>
      <c r="K25" s="16">
        <f t="shared" si="1"/>
        <v>127.77777777777779</v>
      </c>
      <c r="L25" s="29">
        <v>15</v>
      </c>
      <c r="M25" s="17">
        <f>AVERAGE(M19:M24)</f>
        <v>1843.8750544121212</v>
      </c>
      <c r="N25" s="16">
        <f t="shared" si="3"/>
        <v>122.92500362747475</v>
      </c>
      <c r="O25" s="18">
        <f t="shared" si="4"/>
        <v>0</v>
      </c>
      <c r="P25" s="19">
        <f t="shared" si="5"/>
        <v>-4.8527741503030342</v>
      </c>
      <c r="Q25" s="20">
        <f t="shared" si="6"/>
        <v>0.96202176751936752</v>
      </c>
      <c r="R25" s="170"/>
      <c r="S25" s="27"/>
      <c r="T25" s="27"/>
      <c r="U25" s="16"/>
      <c r="V25" s="21"/>
      <c r="W25" s="16"/>
      <c r="X25" s="16"/>
      <c r="Y25" s="30">
        <f>SUM(Y19:Y24)</f>
        <v>0</v>
      </c>
      <c r="Z25" s="30">
        <f>SUM(Z19:Z24)</f>
        <v>0</v>
      </c>
      <c r="AA25" s="166"/>
      <c r="AB25" s="166"/>
      <c r="AC25" s="30">
        <f>SUM(AC19:AC24)</f>
        <v>6</v>
      </c>
      <c r="AD25" s="30">
        <f>SUM(AD19:AD24)</f>
        <v>0</v>
      </c>
      <c r="AE25" s="18">
        <f t="shared" si="8"/>
        <v>-72.791612254545498</v>
      </c>
      <c r="AF25" s="20">
        <f t="shared" si="9"/>
        <v>0.96202176751936752</v>
      </c>
      <c r="AG25" s="170"/>
    </row>
    <row r="26" spans="1:33" ht="15.75" customHeight="1">
      <c r="A26" s="191" t="s">
        <v>2303</v>
      </c>
      <c r="B26" s="35" t="s">
        <v>97</v>
      </c>
      <c r="C26" s="190" t="s">
        <v>98</v>
      </c>
      <c r="D26" s="190"/>
      <c r="E26" s="35">
        <v>31.29</v>
      </c>
      <c r="F26" s="4">
        <v>8282</v>
      </c>
      <c r="G26" s="4">
        <f t="shared" ref="G26:G30" si="23">E26*F26</f>
        <v>259143.78</v>
      </c>
      <c r="H26" s="21" t="s">
        <v>133</v>
      </c>
      <c r="I26" s="15">
        <v>18</v>
      </c>
      <c r="J26" s="17">
        <v>2400</v>
      </c>
      <c r="K26" s="16">
        <f t="shared" si="1"/>
        <v>133.33333333333334</v>
      </c>
      <c r="L26" s="15">
        <v>18</v>
      </c>
      <c r="M26" s="17">
        <f t="shared" ref="M26:M30" si="24">F26/V26*60</f>
        <v>2289.953917050691</v>
      </c>
      <c r="N26" s="16">
        <f t="shared" si="3"/>
        <v>127.21966205837172</v>
      </c>
      <c r="O26" s="18">
        <f t="shared" si="4"/>
        <v>0</v>
      </c>
      <c r="P26" s="19">
        <f t="shared" si="5"/>
        <v>-6.113671274961618</v>
      </c>
      <c r="Q26" s="20">
        <f t="shared" si="6"/>
        <v>0.95414746543778783</v>
      </c>
      <c r="R26" s="170">
        <f>Q31</f>
        <v>0.95431463951239859</v>
      </c>
      <c r="S26" s="27">
        <v>8.3333333333333329E-2</v>
      </c>
      <c r="T26" s="27">
        <v>0.23402777777777778</v>
      </c>
      <c r="U26" s="4"/>
      <c r="V26" s="21">
        <f t="shared" ref="V26:V30" si="25">(T26-S26)*24*60</f>
        <v>217.00000000000003</v>
      </c>
      <c r="W26" s="22">
        <f>T26</f>
        <v>0.23402777777777778</v>
      </c>
      <c r="X26" s="22">
        <f>S27</f>
        <v>0.25486111111111109</v>
      </c>
      <c r="Y26" s="22"/>
      <c r="Z26" s="22"/>
      <c r="AA26" s="162"/>
      <c r="AB26" s="162"/>
      <c r="AC26" s="24">
        <v>5</v>
      </c>
      <c r="AD26" s="24"/>
      <c r="AE26" s="18">
        <f t="shared" si="8"/>
        <v>-110.04608294930904</v>
      </c>
      <c r="AF26" s="20">
        <f t="shared" si="9"/>
        <v>0.95414746543778794</v>
      </c>
      <c r="AG26" s="170">
        <f>AF31</f>
        <v>0.95431463951239859</v>
      </c>
    </row>
    <row r="27" spans="1:33" ht="15.75" customHeight="1">
      <c r="A27" s="191" t="s">
        <v>2303</v>
      </c>
      <c r="B27" s="35" t="s">
        <v>97</v>
      </c>
      <c r="C27" s="190" t="s">
        <v>99</v>
      </c>
      <c r="D27" s="190"/>
      <c r="E27" s="35">
        <v>25.98</v>
      </c>
      <c r="F27" s="4">
        <v>3014</v>
      </c>
      <c r="G27" s="4">
        <f t="shared" si="23"/>
        <v>78303.72</v>
      </c>
      <c r="H27" s="21" t="s">
        <v>133</v>
      </c>
      <c r="I27" s="15">
        <v>21</v>
      </c>
      <c r="J27" s="17">
        <v>2400</v>
      </c>
      <c r="K27" s="16">
        <f t="shared" si="1"/>
        <v>114.28571428571429</v>
      </c>
      <c r="L27" s="15">
        <v>21</v>
      </c>
      <c r="M27" s="17">
        <f t="shared" si="24"/>
        <v>2289.1139240506318</v>
      </c>
      <c r="N27" s="16">
        <f t="shared" si="3"/>
        <v>109.00542495479199</v>
      </c>
      <c r="O27" s="18">
        <f t="shared" si="4"/>
        <v>0</v>
      </c>
      <c r="P27" s="19">
        <f t="shared" si="5"/>
        <v>-5.2802893309223009</v>
      </c>
      <c r="Q27" s="20">
        <f t="shared" si="6"/>
        <v>0.95379746835442991</v>
      </c>
      <c r="R27" s="170"/>
      <c r="S27" s="27">
        <v>0.25486111111111109</v>
      </c>
      <c r="T27" s="27">
        <v>0.30972222222222223</v>
      </c>
      <c r="U27" s="4">
        <f t="shared" ref="U27:U30" si="26">(S27-T26)*24*60</f>
        <v>29.999999999999972</v>
      </c>
      <c r="V27" s="21">
        <f t="shared" si="25"/>
        <v>79.000000000000043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-110.88607594936821</v>
      </c>
      <c r="AF27" s="20">
        <f t="shared" si="9"/>
        <v>0.95379746835442991</v>
      </c>
      <c r="AG27" s="170"/>
    </row>
    <row r="28" spans="1:33" ht="15.75" customHeight="1">
      <c r="A28" s="191" t="s">
        <v>2303</v>
      </c>
      <c r="B28" s="35" t="s">
        <v>97</v>
      </c>
      <c r="C28" s="190" t="s">
        <v>100</v>
      </c>
      <c r="D28" s="190"/>
      <c r="E28" s="35">
        <v>26.2</v>
      </c>
      <c r="F28" s="4">
        <v>5062</v>
      </c>
      <c r="G28" s="4">
        <f t="shared" si="23"/>
        <v>132624.4</v>
      </c>
      <c r="H28" s="21" t="s">
        <v>133</v>
      </c>
      <c r="I28" s="15">
        <v>20</v>
      </c>
      <c r="J28" s="17">
        <v>2400</v>
      </c>
      <c r="K28" s="16">
        <f t="shared" si="1"/>
        <v>120</v>
      </c>
      <c r="L28" s="15">
        <v>20</v>
      </c>
      <c r="M28" s="17">
        <f t="shared" si="24"/>
        <v>2300.909090909091</v>
      </c>
      <c r="N28" s="16">
        <f t="shared" si="3"/>
        <v>115.04545454545455</v>
      </c>
      <c r="O28" s="18">
        <f t="shared" si="4"/>
        <v>0</v>
      </c>
      <c r="P28" s="19">
        <f t="shared" si="5"/>
        <v>-4.9545454545454533</v>
      </c>
      <c r="Q28" s="20">
        <f t="shared" si="6"/>
        <v>0.95871212121212124</v>
      </c>
      <c r="R28" s="170"/>
      <c r="S28" s="27">
        <v>0.31527777777777777</v>
      </c>
      <c r="T28" s="27">
        <v>0.40694444444444444</v>
      </c>
      <c r="U28" s="4">
        <f t="shared" si="26"/>
        <v>7.9999999999999716</v>
      </c>
      <c r="V28" s="21">
        <f t="shared" si="25"/>
        <v>132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-99.090909090909008</v>
      </c>
      <c r="AF28" s="20">
        <f t="shared" si="9"/>
        <v>0.95871212121212124</v>
      </c>
      <c r="AG28" s="170"/>
    </row>
    <row r="29" spans="1:33" ht="15.75" customHeight="1">
      <c r="A29" s="191" t="s">
        <v>2303</v>
      </c>
      <c r="B29" s="35" t="s">
        <v>97</v>
      </c>
      <c r="C29" s="190" t="s">
        <v>101</v>
      </c>
      <c r="D29" s="190"/>
      <c r="E29" s="35">
        <v>25.99</v>
      </c>
      <c r="F29" s="4">
        <v>4030</v>
      </c>
      <c r="G29" s="4">
        <f t="shared" si="23"/>
        <v>104739.7</v>
      </c>
      <c r="H29" s="21" t="s">
        <v>133</v>
      </c>
      <c r="I29" s="15">
        <v>14</v>
      </c>
      <c r="J29" s="17">
        <v>2400</v>
      </c>
      <c r="K29" s="16">
        <f t="shared" si="1"/>
        <v>171.42857142857142</v>
      </c>
      <c r="L29" s="15">
        <v>14</v>
      </c>
      <c r="M29" s="17">
        <f t="shared" si="24"/>
        <v>2281.1320754716976</v>
      </c>
      <c r="N29" s="16">
        <f t="shared" si="3"/>
        <v>162.93800539083554</v>
      </c>
      <c r="O29" s="18">
        <f t="shared" si="4"/>
        <v>0</v>
      </c>
      <c r="P29" s="19">
        <f t="shared" si="5"/>
        <v>-8.4905660377358743</v>
      </c>
      <c r="Q29" s="20">
        <f t="shared" si="6"/>
        <v>0.95047169811320742</v>
      </c>
      <c r="R29" s="170"/>
      <c r="S29" s="27">
        <v>0.41111111111111109</v>
      </c>
      <c r="T29" s="27">
        <v>0.48472222222222222</v>
      </c>
      <c r="U29" s="4">
        <f t="shared" si="26"/>
        <v>5.9999999999999787</v>
      </c>
      <c r="V29" s="21">
        <f t="shared" si="25"/>
        <v>106.00000000000003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-118.86792452830241</v>
      </c>
      <c r="AF29" s="20">
        <f t="shared" si="9"/>
        <v>0.95047169811320731</v>
      </c>
      <c r="AG29" s="170"/>
    </row>
    <row r="30" spans="1:33" ht="15.75" customHeight="1">
      <c r="A30" s="191" t="s">
        <v>2303</v>
      </c>
      <c r="B30" s="35" t="s">
        <v>97</v>
      </c>
      <c r="C30" s="190" t="s">
        <v>102</v>
      </c>
      <c r="D30" s="190"/>
      <c r="E30" s="35">
        <v>26.18</v>
      </c>
      <c r="F30" s="4">
        <v>1718</v>
      </c>
      <c r="G30" s="4">
        <f t="shared" si="23"/>
        <v>44977.24</v>
      </c>
      <c r="H30" s="21" t="s">
        <v>133</v>
      </c>
      <c r="I30" s="15">
        <v>19</v>
      </c>
      <c r="J30" s="17">
        <v>2400</v>
      </c>
      <c r="K30" s="16">
        <f t="shared" si="1"/>
        <v>126.31578947368421</v>
      </c>
      <c r="L30" s="15">
        <v>19</v>
      </c>
      <c r="M30" s="17">
        <f t="shared" si="24"/>
        <v>2290.6666666666706</v>
      </c>
      <c r="N30" s="16">
        <f t="shared" si="3"/>
        <v>120.56140350877213</v>
      </c>
      <c r="O30" s="18">
        <f t="shared" si="4"/>
        <v>0</v>
      </c>
      <c r="P30" s="19">
        <f t="shared" si="5"/>
        <v>-5.7543859649120748</v>
      </c>
      <c r="Q30" s="20">
        <f t="shared" si="6"/>
        <v>0.95444444444444609</v>
      </c>
      <c r="R30" s="170"/>
      <c r="S30" s="27">
        <v>0.48958333333333331</v>
      </c>
      <c r="T30" s="27">
        <v>0.52083333333333326</v>
      </c>
      <c r="U30" s="4">
        <f t="shared" si="26"/>
        <v>6.9999999999999751</v>
      </c>
      <c r="V30" s="21">
        <f t="shared" si="25"/>
        <v>44.999999999999922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-109.33333333332939</v>
      </c>
      <c r="AF30" s="20">
        <f t="shared" si="9"/>
        <v>0.95444444444444609</v>
      </c>
      <c r="AG30" s="170"/>
    </row>
    <row r="31" spans="1:33" ht="15.75" customHeight="1">
      <c r="A31" s="191" t="s">
        <v>2303</v>
      </c>
      <c r="B31" s="35" t="s">
        <v>2301</v>
      </c>
      <c r="C31" s="171"/>
      <c r="D31" s="171"/>
      <c r="E31" s="36"/>
      <c r="F31" s="4"/>
      <c r="G31" s="4"/>
      <c r="H31" s="4"/>
      <c r="I31" s="29">
        <v>18.399999999999999</v>
      </c>
      <c r="J31" s="17">
        <v>2400</v>
      </c>
      <c r="K31" s="16">
        <f t="shared" si="1"/>
        <v>130.43478260869566</v>
      </c>
      <c r="L31" s="29">
        <v>18.399999999999999</v>
      </c>
      <c r="M31" s="17">
        <f>AVERAGE(M26:M30)</f>
        <v>2290.3551348297565</v>
      </c>
      <c r="N31" s="16">
        <f t="shared" si="3"/>
        <v>124.47582254509547</v>
      </c>
      <c r="O31" s="18">
        <f t="shared" si="4"/>
        <v>0</v>
      </c>
      <c r="P31" s="19">
        <f t="shared" si="5"/>
        <v>-5.9589600636001876</v>
      </c>
      <c r="Q31" s="20">
        <f t="shared" si="6"/>
        <v>0.95431463951239859</v>
      </c>
      <c r="R31" s="170"/>
      <c r="S31" s="27"/>
      <c r="T31" s="27"/>
      <c r="U31" s="4"/>
      <c r="V31" s="21"/>
      <c r="W31" s="4"/>
      <c r="X31" s="4"/>
      <c r="Y31" s="30">
        <f>SUM(Y26:Y30)</f>
        <v>0</v>
      </c>
      <c r="Z31" s="30">
        <f>SUM(Z26:Z30)</f>
        <v>0</v>
      </c>
      <c r="AA31" s="166"/>
      <c r="AB31" s="166"/>
      <c r="AC31" s="30">
        <f>SUM(AC26:AC30)</f>
        <v>5</v>
      </c>
      <c r="AD31" s="30">
        <f>SUM(AD26:AD30)</f>
        <v>0</v>
      </c>
      <c r="AE31" s="18">
        <f t="shared" si="8"/>
        <v>-109.64486517024352</v>
      </c>
      <c r="AF31" s="20">
        <f t="shared" si="9"/>
        <v>0.95431463951239859</v>
      </c>
      <c r="AG31" s="170"/>
    </row>
    <row r="32" spans="1:33" ht="15.75" customHeight="1">
      <c r="A32" s="188" t="s">
        <v>2304</v>
      </c>
      <c r="B32" s="35" t="s">
        <v>97</v>
      </c>
      <c r="C32" s="163" t="s">
        <v>103</v>
      </c>
      <c r="D32" s="163"/>
      <c r="E32" s="35">
        <v>26.2</v>
      </c>
      <c r="F32" s="4">
        <v>3600</v>
      </c>
      <c r="G32" s="4">
        <f t="shared" ref="G32:G37" si="27">E32*F32</f>
        <v>94320</v>
      </c>
      <c r="H32" s="21">
        <v>2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ref="M32:M37" si="28">F32/V32*60</f>
        <v>2297.8723404255315</v>
      </c>
      <c r="N32" s="16">
        <f t="shared" si="3"/>
        <v>127.65957446808508</v>
      </c>
      <c r="O32" s="18">
        <f t="shared" si="4"/>
        <v>0</v>
      </c>
      <c r="P32" s="19">
        <f t="shared" si="5"/>
        <v>-5.67375886524826</v>
      </c>
      <c r="Q32" s="20">
        <f t="shared" si="6"/>
        <v>0.95744680851063801</v>
      </c>
      <c r="R32" s="170">
        <f>Q38</f>
        <v>0.9573265467768961</v>
      </c>
      <c r="S32" s="27">
        <v>8.3333333333333329E-2</v>
      </c>
      <c r="T32" s="27">
        <v>0.14861111111111111</v>
      </c>
      <c r="U32" s="4"/>
      <c r="V32" s="21">
        <f t="shared" ref="V32:V37" si="29">(T32-S32)*24*60</f>
        <v>94.000000000000014</v>
      </c>
      <c r="W32" s="27">
        <f>T32</f>
        <v>0.14861111111111111</v>
      </c>
      <c r="X32" s="27">
        <f>S33</f>
        <v>0.16805555555555557</v>
      </c>
      <c r="Y32" s="27"/>
      <c r="Z32" s="27"/>
      <c r="AA32" s="162"/>
      <c r="AB32" s="162"/>
      <c r="AC32" s="24">
        <v>6</v>
      </c>
      <c r="AD32" s="24"/>
      <c r="AE32" s="18">
        <f t="shared" si="8"/>
        <v>-102.12765957446845</v>
      </c>
      <c r="AF32" s="20">
        <f t="shared" si="9"/>
        <v>0.95744680851063813</v>
      </c>
      <c r="AG32" s="170">
        <f>AF38</f>
        <v>0.95732654677689599</v>
      </c>
    </row>
    <row r="33" spans="1:33" ht="15.75" customHeight="1">
      <c r="A33" s="188" t="s">
        <v>2305</v>
      </c>
      <c r="B33" s="35" t="s">
        <v>97</v>
      </c>
      <c r="C33" s="163" t="s">
        <v>104</v>
      </c>
      <c r="D33" s="163"/>
      <c r="E33" s="35">
        <v>20.52</v>
      </c>
      <c r="F33" s="4">
        <v>3742</v>
      </c>
      <c r="G33" s="4">
        <f t="shared" si="27"/>
        <v>76785.84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si="28"/>
        <v>2291.020408163266</v>
      </c>
      <c r="N33" s="16">
        <f t="shared" si="3"/>
        <v>127.27891156462589</v>
      </c>
      <c r="O33" s="18">
        <f t="shared" si="4"/>
        <v>0</v>
      </c>
      <c r="P33" s="19">
        <f t="shared" si="5"/>
        <v>-6.0544217687074564</v>
      </c>
      <c r="Q33" s="20">
        <f t="shared" si="6"/>
        <v>0.95459183673469405</v>
      </c>
      <c r="R33" s="170"/>
      <c r="S33" s="27">
        <v>0.16805555555555557</v>
      </c>
      <c r="T33" s="27">
        <v>0.2361111111111111</v>
      </c>
      <c r="U33" s="4">
        <f t="shared" ref="U33:U37" si="30">(S33-T32)*24*60</f>
        <v>28.000000000000021</v>
      </c>
      <c r="V33" s="21">
        <f t="shared" si="29"/>
        <v>97.999999999999972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-108.97959183673402</v>
      </c>
      <c r="AF33" s="20">
        <f t="shared" si="9"/>
        <v>0.95459183673469417</v>
      </c>
      <c r="AG33" s="170"/>
    </row>
    <row r="34" spans="1:33">
      <c r="A34" s="189" t="s">
        <v>59</v>
      </c>
      <c r="B34" s="35" t="s">
        <v>97</v>
      </c>
      <c r="C34" s="163" t="s">
        <v>105</v>
      </c>
      <c r="D34" s="163"/>
      <c r="E34" s="35">
        <v>26.39</v>
      </c>
      <c r="F34" s="4">
        <v>5563</v>
      </c>
      <c r="G34" s="4">
        <f t="shared" si="27"/>
        <v>146807.57</v>
      </c>
      <c r="H34" s="21" t="s">
        <v>133</v>
      </c>
      <c r="I34" s="15">
        <v>19</v>
      </c>
      <c r="J34" s="17">
        <v>2400</v>
      </c>
      <c r="K34" s="16">
        <f t="shared" si="1"/>
        <v>126.31578947368421</v>
      </c>
      <c r="L34" s="15">
        <v>19</v>
      </c>
      <c r="M34" s="17">
        <f t="shared" si="28"/>
        <v>2286.1643835616437</v>
      </c>
      <c r="N34" s="16">
        <f t="shared" si="3"/>
        <v>120.32444124008651</v>
      </c>
      <c r="O34" s="18">
        <f t="shared" si="4"/>
        <v>0</v>
      </c>
      <c r="P34" s="19">
        <f t="shared" si="5"/>
        <v>-5.9913482335976909</v>
      </c>
      <c r="Q34" s="20">
        <f t="shared" si="6"/>
        <v>0.95256849315068493</v>
      </c>
      <c r="R34" s="170"/>
      <c r="S34" s="27">
        <v>0.24166666666666667</v>
      </c>
      <c r="T34" s="27">
        <v>0.34305555555555556</v>
      </c>
      <c r="U34" s="4">
        <f t="shared" si="30"/>
        <v>8.0000000000000107</v>
      </c>
      <c r="V34" s="21">
        <f t="shared" si="29"/>
        <v>146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-113.83561643835628</v>
      </c>
      <c r="AF34" s="20">
        <f t="shared" si="9"/>
        <v>0.95256849315068493</v>
      </c>
      <c r="AG34" s="170"/>
    </row>
    <row r="35" spans="1:33">
      <c r="A35" s="189" t="s">
        <v>2306</v>
      </c>
      <c r="B35" s="35" t="s">
        <v>97</v>
      </c>
      <c r="C35" s="163" t="s">
        <v>107</v>
      </c>
      <c r="D35" s="163"/>
      <c r="E35" s="35">
        <v>20.52</v>
      </c>
      <c r="F35" s="4">
        <v>2737</v>
      </c>
      <c r="G35" s="4">
        <f t="shared" si="27"/>
        <v>56163.24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8"/>
        <v>2312.9577464788736</v>
      </c>
      <c r="N35" s="16">
        <f t="shared" si="3"/>
        <v>128.49765258215965</v>
      </c>
      <c r="O35" s="18">
        <f t="shared" si="4"/>
        <v>0</v>
      </c>
      <c r="P35" s="19">
        <f t="shared" si="5"/>
        <v>-4.8356807511736974</v>
      </c>
      <c r="Q35" s="20">
        <f t="shared" si="6"/>
        <v>0.96373239436619729</v>
      </c>
      <c r="R35" s="170"/>
      <c r="S35" s="27">
        <v>0.34652777777777777</v>
      </c>
      <c r="T35" s="27">
        <v>0.39583333333333331</v>
      </c>
      <c r="U35" s="4">
        <f t="shared" si="30"/>
        <v>4.9999999999999822</v>
      </c>
      <c r="V35" s="21">
        <f t="shared" si="29"/>
        <v>70.999999999999986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-87.04225352112644</v>
      </c>
      <c r="AF35" s="20">
        <f t="shared" si="9"/>
        <v>0.96373239436619729</v>
      </c>
      <c r="AG35" s="170"/>
    </row>
    <row r="36" spans="1:33">
      <c r="A36" s="189" t="s">
        <v>2305</v>
      </c>
      <c r="B36" s="35" t="s">
        <v>97</v>
      </c>
      <c r="C36" s="163" t="s">
        <v>304</v>
      </c>
      <c r="D36" s="163"/>
      <c r="E36" s="35">
        <v>22.69</v>
      </c>
      <c r="F36" s="4">
        <v>5321</v>
      </c>
      <c r="G36" s="4">
        <f t="shared" si="27"/>
        <v>120733.49</v>
      </c>
      <c r="H36" s="21" t="s">
        <v>133</v>
      </c>
      <c r="I36" s="15">
        <v>15</v>
      </c>
      <c r="J36" s="17">
        <v>2400</v>
      </c>
      <c r="K36" s="16">
        <f t="shared" si="1"/>
        <v>160</v>
      </c>
      <c r="L36" s="15">
        <v>15</v>
      </c>
      <c r="M36" s="17">
        <f t="shared" si="28"/>
        <v>2280.428571428572</v>
      </c>
      <c r="N36" s="16">
        <f t="shared" si="3"/>
        <v>152.02857142857147</v>
      </c>
      <c r="O36" s="18">
        <f t="shared" si="4"/>
        <v>0</v>
      </c>
      <c r="P36" s="19">
        <f t="shared" si="5"/>
        <v>-7.9714285714285325</v>
      </c>
      <c r="Q36" s="20">
        <f t="shared" si="6"/>
        <v>0.95017857142857165</v>
      </c>
      <c r="R36" s="170"/>
      <c r="S36" s="27">
        <v>0.40138888888888885</v>
      </c>
      <c r="T36" s="27">
        <v>0.49861111111111106</v>
      </c>
      <c r="U36" s="4">
        <f t="shared" si="30"/>
        <v>7.9999999999999716</v>
      </c>
      <c r="V36" s="21">
        <f t="shared" si="29"/>
        <v>139.99999999999997</v>
      </c>
      <c r="W36" s="22">
        <f>T36</f>
        <v>0.49861111111111106</v>
      </c>
      <c r="X36" s="22">
        <f>S37</f>
        <v>0.54027777777777775</v>
      </c>
      <c r="Y36" s="22"/>
      <c r="Z36" s="22"/>
      <c r="AA36" s="162"/>
      <c r="AB36" s="162"/>
      <c r="AC36" s="24"/>
      <c r="AD36" s="24"/>
      <c r="AE36" s="18">
        <f t="shared" si="8"/>
        <v>-119.57142857142799</v>
      </c>
      <c r="AF36" s="20">
        <f t="shared" si="9"/>
        <v>0.95017857142857165</v>
      </c>
      <c r="AG36" s="170"/>
    </row>
    <row r="37" spans="1:33">
      <c r="A37" s="189" t="s">
        <v>2306</v>
      </c>
      <c r="B37" s="35" t="s">
        <v>97</v>
      </c>
      <c r="C37" s="163" t="s">
        <v>103</v>
      </c>
      <c r="D37" s="163"/>
      <c r="E37" s="35">
        <v>26.2</v>
      </c>
      <c r="F37" s="4">
        <v>2626</v>
      </c>
      <c r="G37" s="4">
        <f t="shared" si="27"/>
        <v>68801.2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2317.0588235294149</v>
      </c>
      <c r="N37" s="16">
        <f t="shared" si="3"/>
        <v>128.7254901960786</v>
      </c>
      <c r="O37" s="18">
        <f t="shared" si="4"/>
        <v>0</v>
      </c>
      <c r="P37" s="19">
        <f t="shared" si="5"/>
        <v>-4.607843137254747</v>
      </c>
      <c r="Q37" s="20">
        <f t="shared" si="6"/>
        <v>0.96544117647058936</v>
      </c>
      <c r="R37" s="170"/>
      <c r="S37" s="27">
        <v>0.54027777777777775</v>
      </c>
      <c r="T37" s="27">
        <v>0.58749999999999991</v>
      </c>
      <c r="U37" s="4">
        <f t="shared" si="30"/>
        <v>60.000000000000028</v>
      </c>
      <c r="V37" s="21">
        <f t="shared" si="29"/>
        <v>67.999999999999915</v>
      </c>
      <c r="W37" s="22"/>
      <c r="X37" s="22"/>
      <c r="Y37" s="22"/>
      <c r="Z37" s="22"/>
      <c r="AA37" s="162"/>
      <c r="AB37" s="162"/>
      <c r="AC37" s="24"/>
      <c r="AD37" s="24"/>
      <c r="AE37" s="18">
        <f t="shared" si="8"/>
        <v>-82.941176470585106</v>
      </c>
      <c r="AF37" s="20">
        <f t="shared" si="9"/>
        <v>0.96544117647058958</v>
      </c>
      <c r="AG37" s="170"/>
    </row>
    <row r="38" spans="1:33">
      <c r="A38" s="189" t="s">
        <v>2307</v>
      </c>
      <c r="B38" s="16" t="s">
        <v>48</v>
      </c>
      <c r="C38" s="171"/>
      <c r="D38" s="171"/>
      <c r="E38" s="36"/>
      <c r="F38" s="16"/>
      <c r="G38" s="16"/>
      <c r="H38" s="4"/>
      <c r="I38" s="29">
        <v>17.666666666666668</v>
      </c>
      <c r="J38" s="17">
        <v>2400</v>
      </c>
      <c r="K38" s="16">
        <f t="shared" si="1"/>
        <v>135.84905660377356</v>
      </c>
      <c r="L38" s="29">
        <v>17.666666666666668</v>
      </c>
      <c r="M38" s="17">
        <f>AVERAGE(M32:M37)</f>
        <v>2297.5837122645503</v>
      </c>
      <c r="N38" s="16">
        <f t="shared" si="3"/>
        <v>130.05190824138964</v>
      </c>
      <c r="O38" s="18">
        <f t="shared" si="4"/>
        <v>0</v>
      </c>
      <c r="P38" s="19">
        <f t="shared" si="5"/>
        <v>-5.7971483623839219</v>
      </c>
      <c r="Q38" s="20">
        <f t="shared" si="6"/>
        <v>0.9573265467768961</v>
      </c>
      <c r="R38" s="170"/>
      <c r="S38" s="27"/>
      <c r="T38" s="27"/>
      <c r="U38" s="16"/>
      <c r="V38" s="21"/>
      <c r="W38" s="16"/>
      <c r="X38" s="16"/>
      <c r="Y38" s="30">
        <f>SUM(Y32:Y37)</f>
        <v>0</v>
      </c>
      <c r="Z38" s="30">
        <f>SUM(Z32:Z37)</f>
        <v>0</v>
      </c>
      <c r="AA38" s="166"/>
      <c r="AB38" s="166"/>
      <c r="AC38" s="30">
        <f>SUM(AC32:AC37)</f>
        <v>6</v>
      </c>
      <c r="AD38" s="30">
        <f>SUM(AD32:AD37)</f>
        <v>0</v>
      </c>
      <c r="AE38" s="18">
        <f t="shared" si="8"/>
        <v>-102.41628773544971</v>
      </c>
      <c r="AF38" s="20">
        <f t="shared" si="9"/>
        <v>0.95732654677689599</v>
      </c>
      <c r="AG38" s="170"/>
    </row>
    <row r="39" spans="1:33" ht="15.75" customHeight="1">
      <c r="A39" s="182" t="s">
        <v>2308</v>
      </c>
      <c r="B39" s="35" t="s">
        <v>108</v>
      </c>
      <c r="C39" s="174" t="s">
        <v>1514</v>
      </c>
      <c r="D39" s="175"/>
      <c r="E39" s="35">
        <v>34.35</v>
      </c>
      <c r="F39" s="4">
        <v>3091</v>
      </c>
      <c r="G39" s="4">
        <f t="shared" ref="G39:G43" si="31">E39*F39</f>
        <v>106175.85</v>
      </c>
      <c r="H39" s="21" t="s">
        <v>133</v>
      </c>
      <c r="I39" s="15">
        <v>8</v>
      </c>
      <c r="J39" s="17">
        <v>3000</v>
      </c>
      <c r="K39" s="16">
        <f t="shared" si="1"/>
        <v>375</v>
      </c>
      <c r="L39" s="15">
        <v>8</v>
      </c>
      <c r="M39" s="17">
        <f t="shared" ref="M39:M43" si="32">F39/V39*60</f>
        <v>2853.23076923077</v>
      </c>
      <c r="N39" s="17">
        <f t="shared" si="3"/>
        <v>356.65384615384625</v>
      </c>
      <c r="O39" s="18">
        <f t="shared" si="4"/>
        <v>0</v>
      </c>
      <c r="P39" s="19">
        <f t="shared" si="5"/>
        <v>-18.346153846153754</v>
      </c>
      <c r="Q39" s="20">
        <f t="shared" si="6"/>
        <v>0.95107692307692338</v>
      </c>
      <c r="R39" s="185">
        <f>Q44</f>
        <v>0.95639293162422223</v>
      </c>
      <c r="S39" s="27">
        <v>8.3333333333333329E-2</v>
      </c>
      <c r="T39" s="27">
        <v>0.12847222222222221</v>
      </c>
      <c r="U39" s="27"/>
      <c r="V39" s="21">
        <f t="shared" ref="V39:V43" si="33">(T39-S39)*24*60</f>
        <v>64.999999999999986</v>
      </c>
      <c r="W39" s="22">
        <f>T39</f>
        <v>0.12847222222222221</v>
      </c>
      <c r="X39" s="22">
        <f>S40</f>
        <v>0.14791666666666667</v>
      </c>
      <c r="Y39" s="25"/>
      <c r="Z39" s="25"/>
      <c r="AA39" s="176"/>
      <c r="AB39" s="177"/>
      <c r="AC39" s="24">
        <v>5</v>
      </c>
      <c r="AD39" s="24"/>
      <c r="AE39" s="18">
        <f t="shared" si="8"/>
        <v>-146.76923076923003</v>
      </c>
      <c r="AF39" s="20">
        <f t="shared" si="9"/>
        <v>0.95107692307692338</v>
      </c>
      <c r="AG39" s="185">
        <f>AF44</f>
        <v>0.95639293162422234</v>
      </c>
    </row>
    <row r="40" spans="1:33" ht="15.75" customHeight="1">
      <c r="A40" s="183" t="s">
        <v>2309</v>
      </c>
      <c r="B40" s="35" t="s">
        <v>108</v>
      </c>
      <c r="C40" s="174" t="s">
        <v>111</v>
      </c>
      <c r="D40" s="175"/>
      <c r="E40" s="35">
        <v>21.13</v>
      </c>
      <c r="F40" s="4">
        <v>5074</v>
      </c>
      <c r="G40" s="4">
        <f t="shared" si="31"/>
        <v>107213.62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2872.0754716981137</v>
      </c>
      <c r="N40" s="17">
        <f t="shared" si="3"/>
        <v>287.20754716981139</v>
      </c>
      <c r="O40" s="18">
        <f t="shared" si="4"/>
        <v>0</v>
      </c>
      <c r="P40" s="19">
        <f t="shared" si="5"/>
        <v>-12.792452830188608</v>
      </c>
      <c r="Q40" s="20">
        <f t="shared" si="6"/>
        <v>0.95735849056603795</v>
      </c>
      <c r="R40" s="186"/>
      <c r="S40" s="27">
        <v>0.14791666666666667</v>
      </c>
      <c r="T40" s="27">
        <v>0.22152777777777777</v>
      </c>
      <c r="U40" s="4">
        <f t="shared" ref="U40:U43" si="34">(S40-T39)*24*60</f>
        <v>28.000000000000021</v>
      </c>
      <c r="V40" s="21">
        <f t="shared" si="33"/>
        <v>105.99999999999999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-127.92452830188631</v>
      </c>
      <c r="AF40" s="20">
        <f t="shared" si="9"/>
        <v>0.95735849056603795</v>
      </c>
      <c r="AG40" s="186"/>
    </row>
    <row r="41" spans="1:33" ht="15.75" customHeight="1">
      <c r="A41" s="183" t="s">
        <v>2310</v>
      </c>
      <c r="B41" s="35" t="s">
        <v>108</v>
      </c>
      <c r="C41" s="174" t="s">
        <v>112</v>
      </c>
      <c r="D41" s="175"/>
      <c r="E41" s="35">
        <v>27.17</v>
      </c>
      <c r="F41" s="4">
        <v>6521</v>
      </c>
      <c r="G41" s="4">
        <f t="shared" si="31"/>
        <v>177175.57</v>
      </c>
      <c r="H41" s="21" t="s">
        <v>133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2855.9124087591254</v>
      </c>
      <c r="N41" s="17">
        <f t="shared" si="3"/>
        <v>285.59124087591255</v>
      </c>
      <c r="O41" s="18">
        <f t="shared" si="4"/>
        <v>0</v>
      </c>
      <c r="P41" s="19">
        <f t="shared" si="5"/>
        <v>-14.408759124087453</v>
      </c>
      <c r="Q41" s="20">
        <f t="shared" si="6"/>
        <v>0.95197080291970848</v>
      </c>
      <c r="R41" s="186"/>
      <c r="S41" s="27">
        <v>0.22708333333333333</v>
      </c>
      <c r="T41" s="27">
        <v>0.32222222222222219</v>
      </c>
      <c r="U41" s="4">
        <f t="shared" si="34"/>
        <v>8.0000000000000107</v>
      </c>
      <c r="V41" s="21">
        <f t="shared" si="33"/>
        <v>136.99999999999994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-144.08759124087464</v>
      </c>
      <c r="AF41" s="20">
        <f t="shared" si="9"/>
        <v>0.95197080291970848</v>
      </c>
      <c r="AG41" s="186"/>
    </row>
    <row r="42" spans="1:33" ht="15.75" customHeight="1">
      <c r="A42" s="183" t="s">
        <v>2310</v>
      </c>
      <c r="B42" s="35" t="s">
        <v>108</v>
      </c>
      <c r="C42" s="174" t="s">
        <v>305</v>
      </c>
      <c r="D42" s="175"/>
      <c r="E42" s="35">
        <v>28.3</v>
      </c>
      <c r="F42" s="4">
        <v>2448</v>
      </c>
      <c r="G42" s="4">
        <f t="shared" si="31"/>
        <v>69278.400000000009</v>
      </c>
      <c r="H42" s="21" t="s">
        <v>133</v>
      </c>
      <c r="I42" s="15">
        <v>8</v>
      </c>
      <c r="J42" s="17">
        <v>3000</v>
      </c>
      <c r="K42" s="16">
        <f t="shared" si="1"/>
        <v>375</v>
      </c>
      <c r="L42" s="15">
        <v>8</v>
      </c>
      <c r="M42" s="17">
        <f t="shared" si="32"/>
        <v>2880.0000000000014</v>
      </c>
      <c r="N42" s="17">
        <f t="shared" si="3"/>
        <v>360.00000000000017</v>
      </c>
      <c r="O42" s="18">
        <f t="shared" si="4"/>
        <v>0</v>
      </c>
      <c r="P42" s="19">
        <f t="shared" si="5"/>
        <v>-14.999999999999829</v>
      </c>
      <c r="Q42" s="20">
        <f t="shared" si="6"/>
        <v>0.96000000000000041</v>
      </c>
      <c r="R42" s="186"/>
      <c r="S42" s="27">
        <v>0.32708333333333328</v>
      </c>
      <c r="T42" s="27">
        <v>0.36249999999999993</v>
      </c>
      <c r="U42" s="4">
        <f t="shared" si="34"/>
        <v>6.9999999999999751</v>
      </c>
      <c r="V42" s="21">
        <f t="shared" si="33"/>
        <v>50.999999999999979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-119.99999999999864</v>
      </c>
      <c r="AF42" s="20">
        <f t="shared" si="9"/>
        <v>0.96000000000000041</v>
      </c>
      <c r="AG42" s="186"/>
    </row>
    <row r="43" spans="1:33" ht="15.75" customHeight="1">
      <c r="A43" s="183" t="s">
        <v>2311</v>
      </c>
      <c r="B43" s="35" t="s">
        <v>108</v>
      </c>
      <c r="C43" s="174" t="s">
        <v>113</v>
      </c>
      <c r="D43" s="175"/>
      <c r="E43" s="35">
        <v>35.869999999999997</v>
      </c>
      <c r="F43" s="4">
        <v>3702</v>
      </c>
      <c r="G43" s="4">
        <f t="shared" si="31"/>
        <v>132790.74</v>
      </c>
      <c r="H43" s="21" t="s">
        <v>133</v>
      </c>
      <c r="I43" s="15">
        <v>9</v>
      </c>
      <c r="J43" s="17">
        <v>3000</v>
      </c>
      <c r="K43" s="16">
        <f t="shared" si="1"/>
        <v>333.33333333333331</v>
      </c>
      <c r="L43" s="15">
        <v>9</v>
      </c>
      <c r="M43" s="17">
        <f t="shared" si="32"/>
        <v>2884.6753246753233</v>
      </c>
      <c r="N43" s="17">
        <f t="shared" si="3"/>
        <v>320.51948051948034</v>
      </c>
      <c r="O43" s="18">
        <f t="shared" si="4"/>
        <v>0</v>
      </c>
      <c r="P43" s="19">
        <f t="shared" si="5"/>
        <v>-12.813852813852975</v>
      </c>
      <c r="Q43" s="20">
        <f t="shared" si="6"/>
        <v>0.96155844155844106</v>
      </c>
      <c r="R43" s="186"/>
      <c r="S43" s="27">
        <v>0.36736111111111103</v>
      </c>
      <c r="T43" s="27">
        <v>0.42083333333333328</v>
      </c>
      <c r="U43" s="4">
        <f t="shared" si="34"/>
        <v>6.9999999999999751</v>
      </c>
      <c r="V43" s="21">
        <f t="shared" si="33"/>
        <v>77.000000000000043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-115.32467532467672</v>
      </c>
      <c r="AF43" s="20">
        <f t="shared" si="9"/>
        <v>0.96155844155844106</v>
      </c>
      <c r="AG43" s="186"/>
    </row>
    <row r="44" spans="1:33" ht="15.75" customHeight="1">
      <c r="A44" s="184" t="s">
        <v>2310</v>
      </c>
      <c r="B44" s="35" t="s">
        <v>2312</v>
      </c>
      <c r="C44" s="164"/>
      <c r="D44" s="165"/>
      <c r="E44" s="37"/>
      <c r="F44" s="4"/>
      <c r="G44" s="4"/>
      <c r="H44" s="4"/>
      <c r="I44" s="29">
        <v>9</v>
      </c>
      <c r="J44" s="17">
        <v>3000</v>
      </c>
      <c r="K44" s="16">
        <f t="shared" si="1"/>
        <v>333.33333333333331</v>
      </c>
      <c r="L44" s="29">
        <v>9</v>
      </c>
      <c r="M44" s="17">
        <f>AVERAGE(M39:M43)</f>
        <v>2869.1787948726669</v>
      </c>
      <c r="N44" s="16">
        <f t="shared" si="3"/>
        <v>318.79764387474074</v>
      </c>
      <c r="O44" s="18">
        <f t="shared" si="4"/>
        <v>0</v>
      </c>
      <c r="P44" s="19">
        <f t="shared" si="5"/>
        <v>-14.535689458592572</v>
      </c>
      <c r="Q44" s="20">
        <f t="shared" si="6"/>
        <v>0.95639293162422223</v>
      </c>
      <c r="R44" s="187"/>
      <c r="S44" s="27"/>
      <c r="T44" s="27"/>
      <c r="U44" s="4"/>
      <c r="V44" s="21"/>
      <c r="W44" s="22"/>
      <c r="X44" s="22"/>
      <c r="Y44" s="30">
        <f>SUM(Y39:Y43)</f>
        <v>0</v>
      </c>
      <c r="Z44" s="30">
        <f>SUM(Z39:Z43)</f>
        <v>0</v>
      </c>
      <c r="AA44" s="180"/>
      <c r="AB44" s="181"/>
      <c r="AC44" s="30">
        <f>SUM(AC39:AC43)</f>
        <v>5</v>
      </c>
      <c r="AD44" s="30">
        <f>SUM(AD39:AD43)</f>
        <v>0</v>
      </c>
      <c r="AE44" s="18">
        <f t="shared" si="8"/>
        <v>-130.82120512733309</v>
      </c>
      <c r="AF44" s="20">
        <f t="shared" si="9"/>
        <v>0.95639293162422234</v>
      </c>
      <c r="AG44" s="187"/>
    </row>
    <row r="45" spans="1:33" ht="15.75" customHeight="1">
      <c r="A45" s="178" t="s">
        <v>2313</v>
      </c>
      <c r="B45" s="35" t="s">
        <v>84</v>
      </c>
      <c r="C45" s="163" t="s">
        <v>114</v>
      </c>
      <c r="D45" s="163"/>
      <c r="E45" s="35">
        <v>46</v>
      </c>
      <c r="F45" s="38">
        <v>2200</v>
      </c>
      <c r="G45" s="4">
        <f t="shared" ref="G45:G51" si="35">E45*F45</f>
        <v>101200</v>
      </c>
      <c r="H45" s="21" t="s">
        <v>133</v>
      </c>
      <c r="I45" s="15">
        <v>17</v>
      </c>
      <c r="J45" s="17">
        <v>2000</v>
      </c>
      <c r="K45" s="16">
        <f t="shared" si="1"/>
        <v>117.64705882352941</v>
      </c>
      <c r="L45" s="15">
        <v>17</v>
      </c>
      <c r="M45" s="17">
        <f t="shared" ref="M45" si="36">F45/V45*60</f>
        <v>1913.0434782608709</v>
      </c>
      <c r="N45" s="17">
        <f t="shared" si="3"/>
        <v>112.53196930946299</v>
      </c>
      <c r="O45" s="18">
        <f t="shared" si="4"/>
        <v>0</v>
      </c>
      <c r="P45" s="19">
        <f t="shared" si="5"/>
        <v>-5.1150895140664119</v>
      </c>
      <c r="Q45" s="20">
        <f t="shared" si="6"/>
        <v>0.95652173913043548</v>
      </c>
      <c r="R45" s="170">
        <f>Q52</f>
        <v>0.96037973124017417</v>
      </c>
      <c r="S45" s="27">
        <v>0.20833333333333334</v>
      </c>
      <c r="T45" s="27">
        <v>0.25624999999999998</v>
      </c>
      <c r="U45" s="27"/>
      <c r="V45" s="21">
        <f t="shared" ref="V45:V51" si="37">(T45-S45)*24*60</f>
        <v>68.999999999999957</v>
      </c>
      <c r="W45" s="27"/>
      <c r="X45" s="27"/>
      <c r="Y45" s="27"/>
      <c r="Z45" s="27"/>
      <c r="AA45" s="162"/>
      <c r="AB45" s="162"/>
      <c r="AC45" s="24">
        <v>7</v>
      </c>
      <c r="AD45" s="24"/>
      <c r="AE45" s="18">
        <f t="shared" si="8"/>
        <v>-86.95652173912913</v>
      </c>
      <c r="AF45" s="20">
        <f t="shared" si="9"/>
        <v>0.95652173913043548</v>
      </c>
      <c r="AG45" s="170">
        <f>AF52</f>
        <v>0.96037973124017417</v>
      </c>
    </row>
    <row r="46" spans="1:33" ht="15.75" customHeight="1">
      <c r="A46" s="178" t="s">
        <v>72</v>
      </c>
      <c r="B46" s="35" t="s">
        <v>78</v>
      </c>
      <c r="C46" s="163" t="s">
        <v>115</v>
      </c>
      <c r="D46" s="163"/>
      <c r="E46" s="35">
        <v>56.43</v>
      </c>
      <c r="F46" s="38">
        <v>1480</v>
      </c>
      <c r="G46" s="4">
        <f t="shared" si="35"/>
        <v>83516.399999999994</v>
      </c>
      <c r="H46" s="21" t="s">
        <v>133</v>
      </c>
      <c r="I46" s="15">
        <v>22</v>
      </c>
      <c r="J46" s="17">
        <v>2000</v>
      </c>
      <c r="K46" s="16">
        <f t="shared" si="1"/>
        <v>90.909090909090907</v>
      </c>
      <c r="L46" s="15">
        <v>22</v>
      </c>
      <c r="M46" s="17">
        <f>F46/V46*60</f>
        <v>1930.4347826086955</v>
      </c>
      <c r="N46" s="17">
        <f t="shared" si="3"/>
        <v>87.747035573122517</v>
      </c>
      <c r="O46" s="18">
        <f t="shared" si="4"/>
        <v>0</v>
      </c>
      <c r="P46" s="19">
        <f t="shared" si="5"/>
        <v>-3.1620553359683896</v>
      </c>
      <c r="Q46" s="20">
        <f t="shared" si="6"/>
        <v>0.96521739130434769</v>
      </c>
      <c r="R46" s="170"/>
      <c r="S46" s="27">
        <v>0.25972222222222219</v>
      </c>
      <c r="T46" s="27">
        <v>0.29166666666666663</v>
      </c>
      <c r="U46" s="4">
        <f t="shared" ref="U46:U51" si="38">IF(S46=TIME(17,0,0),"",(S46-T45)*24*60)</f>
        <v>4.9999999999999822</v>
      </c>
      <c r="V46" s="21">
        <f t="shared" si="37"/>
        <v>46</v>
      </c>
      <c r="W46" s="22"/>
      <c r="X46" s="22"/>
      <c r="Y46" s="22"/>
      <c r="Z46" s="22"/>
      <c r="AA46" s="162"/>
      <c r="AB46" s="162"/>
      <c r="AC46" s="24"/>
      <c r="AD46" s="24"/>
      <c r="AE46" s="18">
        <f t="shared" si="8"/>
        <v>-69.565217391304486</v>
      </c>
      <c r="AF46" s="20">
        <f t="shared" si="9"/>
        <v>0.9652173913043478</v>
      </c>
      <c r="AG46" s="170"/>
    </row>
    <row r="47" spans="1:33" ht="15.75" customHeight="1">
      <c r="A47" s="178" t="s">
        <v>2314</v>
      </c>
      <c r="B47" s="35" t="s">
        <v>78</v>
      </c>
      <c r="C47" s="174" t="s">
        <v>116</v>
      </c>
      <c r="D47" s="175"/>
      <c r="E47" s="35">
        <v>51.75</v>
      </c>
      <c r="F47" s="38">
        <v>1051</v>
      </c>
      <c r="G47" s="4">
        <f t="shared" si="35"/>
        <v>54389.25</v>
      </c>
      <c r="H47" s="21" t="s">
        <v>133</v>
      </c>
      <c r="I47" s="15">
        <v>25</v>
      </c>
      <c r="J47" s="17">
        <v>2000</v>
      </c>
      <c r="K47" s="16">
        <f t="shared" si="1"/>
        <v>80</v>
      </c>
      <c r="L47" s="15">
        <v>25</v>
      </c>
      <c r="M47" s="17">
        <f t="shared" ref="M47:M51" si="39">F47/V47*60</f>
        <v>1910.9090909090885</v>
      </c>
      <c r="N47" s="17">
        <f t="shared" si="3"/>
        <v>76.436363636363538</v>
      </c>
      <c r="O47" s="18">
        <f t="shared" si="4"/>
        <v>0</v>
      </c>
      <c r="P47" s="19">
        <f t="shared" si="5"/>
        <v>-3.5636363636364621</v>
      </c>
      <c r="Q47" s="20">
        <f t="shared" si="6"/>
        <v>0.95545454545454422</v>
      </c>
      <c r="R47" s="170"/>
      <c r="S47" s="27">
        <v>0.29513888888888884</v>
      </c>
      <c r="T47" s="27">
        <v>0.31805555555555554</v>
      </c>
      <c r="U47" s="4">
        <f t="shared" si="38"/>
        <v>4.9999999999999822</v>
      </c>
      <c r="V47" s="21">
        <f t="shared" si="37"/>
        <v>33.000000000000043</v>
      </c>
      <c r="W47" s="22"/>
      <c r="X47" s="22"/>
      <c r="Y47" s="25"/>
      <c r="Z47" s="25"/>
      <c r="AA47" s="162"/>
      <c r="AB47" s="162"/>
      <c r="AC47" s="24"/>
      <c r="AD47" s="24"/>
      <c r="AE47" s="18">
        <f t="shared" si="8"/>
        <v>-89.090909090911509</v>
      </c>
      <c r="AF47" s="20">
        <f t="shared" si="9"/>
        <v>0.95545454545454422</v>
      </c>
      <c r="AG47" s="170"/>
    </row>
    <row r="48" spans="1:33" ht="15.75" customHeight="1">
      <c r="A48" s="178" t="s">
        <v>2314</v>
      </c>
      <c r="B48" s="35" t="s">
        <v>78</v>
      </c>
      <c r="C48" s="39" t="s">
        <v>118</v>
      </c>
      <c r="D48" s="40"/>
      <c r="E48" s="35">
        <v>57.73</v>
      </c>
      <c r="F48" s="38">
        <v>909</v>
      </c>
      <c r="G48" s="4">
        <f t="shared" si="35"/>
        <v>52476.57</v>
      </c>
      <c r="H48" s="21" t="s">
        <v>133</v>
      </c>
      <c r="I48" s="15">
        <v>16</v>
      </c>
      <c r="J48" s="17">
        <v>1500</v>
      </c>
      <c r="K48" s="16">
        <f t="shared" si="1"/>
        <v>93.75</v>
      </c>
      <c r="L48" s="15">
        <v>16</v>
      </c>
      <c r="M48" s="17">
        <f t="shared" si="39"/>
        <v>1435.2631578947357</v>
      </c>
      <c r="N48" s="17">
        <f t="shared" si="3"/>
        <v>89.703947368420984</v>
      </c>
      <c r="O48" s="18">
        <f t="shared" si="4"/>
        <v>0</v>
      </c>
      <c r="P48" s="19">
        <f t="shared" si="5"/>
        <v>-4.0460526315790162</v>
      </c>
      <c r="Q48" s="20">
        <f t="shared" si="6"/>
        <v>0.95684210526315716</v>
      </c>
      <c r="R48" s="170"/>
      <c r="S48" s="27">
        <v>0.70833333333333337</v>
      </c>
      <c r="T48" s="27">
        <v>0.73472222222222228</v>
      </c>
      <c r="U48" s="4" t="str">
        <f t="shared" si="38"/>
        <v/>
      </c>
      <c r="V48" s="21">
        <f t="shared" si="37"/>
        <v>38.000000000000028</v>
      </c>
      <c r="W48" s="22"/>
      <c r="X48" s="22"/>
      <c r="Y48" s="25"/>
      <c r="Z48" s="25"/>
      <c r="AA48" s="162"/>
      <c r="AB48" s="162"/>
      <c r="AC48" s="24"/>
      <c r="AD48" s="24"/>
      <c r="AE48" s="18">
        <f t="shared" si="8"/>
        <v>-64.736842105264259</v>
      </c>
      <c r="AF48" s="20">
        <f t="shared" si="9"/>
        <v>0.95684210526315716</v>
      </c>
      <c r="AG48" s="170"/>
    </row>
    <row r="49" spans="1:33" ht="15.75" customHeight="1">
      <c r="A49" s="178" t="s">
        <v>2314</v>
      </c>
      <c r="B49" s="35" t="s">
        <v>78</v>
      </c>
      <c r="C49" s="39" t="s">
        <v>119</v>
      </c>
      <c r="D49" s="40"/>
      <c r="E49" s="35">
        <v>54.29</v>
      </c>
      <c r="F49" s="38">
        <v>932</v>
      </c>
      <c r="G49" s="4">
        <f t="shared" si="35"/>
        <v>50598.28</v>
      </c>
      <c r="H49" s="21" t="s">
        <v>133</v>
      </c>
      <c r="I49" s="15">
        <v>20</v>
      </c>
      <c r="J49" s="17">
        <v>2000</v>
      </c>
      <c r="K49" s="16">
        <f t="shared" si="1"/>
        <v>100</v>
      </c>
      <c r="L49" s="15">
        <v>20</v>
      </c>
      <c r="M49" s="17">
        <f t="shared" si="39"/>
        <v>1928.2758620689619</v>
      </c>
      <c r="N49" s="17">
        <f t="shared" si="3"/>
        <v>96.4137931034481</v>
      </c>
      <c r="O49" s="18">
        <f t="shared" si="4"/>
        <v>0</v>
      </c>
      <c r="P49" s="19">
        <f t="shared" si="5"/>
        <v>-3.5862068965519001</v>
      </c>
      <c r="Q49" s="20">
        <f t="shared" si="6"/>
        <v>0.96413793103448098</v>
      </c>
      <c r="R49" s="170"/>
      <c r="S49" s="27">
        <v>0.73958333333333337</v>
      </c>
      <c r="T49" s="27">
        <v>0.7597222222222223</v>
      </c>
      <c r="U49" s="4">
        <f t="shared" si="38"/>
        <v>6.9999999999999751</v>
      </c>
      <c r="V49" s="21">
        <f t="shared" si="37"/>
        <v>29.000000000000057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-71.724137931038058</v>
      </c>
      <c r="AF49" s="20">
        <f t="shared" si="9"/>
        <v>0.96413793103448098</v>
      </c>
      <c r="AG49" s="170"/>
    </row>
    <row r="50" spans="1:33" ht="15.75" customHeight="1">
      <c r="A50" s="178" t="s">
        <v>2314</v>
      </c>
      <c r="B50" s="35" t="s">
        <v>78</v>
      </c>
      <c r="C50" s="174" t="s">
        <v>120</v>
      </c>
      <c r="D50" s="175"/>
      <c r="E50" s="35">
        <v>55.56</v>
      </c>
      <c r="F50" s="38">
        <v>1606</v>
      </c>
      <c r="G50" s="4">
        <f t="shared" si="35"/>
        <v>89229.36</v>
      </c>
      <c r="H50" s="21" t="s">
        <v>133</v>
      </c>
      <c r="I50" s="15">
        <v>17</v>
      </c>
      <c r="J50" s="17">
        <v>2000</v>
      </c>
      <c r="K50" s="16">
        <f t="shared" si="1"/>
        <v>117.64705882352941</v>
      </c>
      <c r="L50" s="15">
        <v>17</v>
      </c>
      <c r="M50" s="17">
        <f t="shared" si="39"/>
        <v>1927.2000000000007</v>
      </c>
      <c r="N50" s="17">
        <f t="shared" si="3"/>
        <v>113.36470588235298</v>
      </c>
      <c r="O50" s="18">
        <f t="shared" si="4"/>
        <v>0</v>
      </c>
      <c r="P50" s="19">
        <f t="shared" si="5"/>
        <v>-4.282352941176427</v>
      </c>
      <c r="Q50" s="20">
        <f t="shared" si="6"/>
        <v>0.96360000000000035</v>
      </c>
      <c r="R50" s="170"/>
      <c r="S50" s="27">
        <v>0.76319444444444451</v>
      </c>
      <c r="T50" s="27">
        <v>0.79791666666666672</v>
      </c>
      <c r="U50" s="4">
        <f t="shared" si="38"/>
        <v>4.9999999999999822</v>
      </c>
      <c r="V50" s="21">
        <f t="shared" si="37"/>
        <v>49.999999999999986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-72.799999999999272</v>
      </c>
      <c r="AF50" s="20">
        <f t="shared" si="9"/>
        <v>0.96360000000000035</v>
      </c>
      <c r="AG50" s="170"/>
    </row>
    <row r="51" spans="1:33" ht="15.75" customHeight="1">
      <c r="A51" s="178" t="s">
        <v>2314</v>
      </c>
      <c r="B51" s="35" t="s">
        <v>78</v>
      </c>
      <c r="C51" s="174" t="s">
        <v>121</v>
      </c>
      <c r="D51" s="175"/>
      <c r="E51" s="35">
        <v>55.32</v>
      </c>
      <c r="F51" s="38">
        <v>1120</v>
      </c>
      <c r="G51" s="4">
        <f t="shared" si="35"/>
        <v>61958.400000000001</v>
      </c>
      <c r="H51" s="21" t="s">
        <v>133</v>
      </c>
      <c r="I51" s="15">
        <v>15</v>
      </c>
      <c r="J51" s="17">
        <v>2000</v>
      </c>
      <c r="K51" s="16">
        <f t="shared" si="1"/>
        <v>133.33333333333334</v>
      </c>
      <c r="L51" s="15">
        <v>15</v>
      </c>
      <c r="M51" s="17">
        <f t="shared" si="39"/>
        <v>1919.9999999999982</v>
      </c>
      <c r="N51" s="17">
        <f t="shared" si="3"/>
        <v>127.99999999999987</v>
      </c>
      <c r="O51" s="18">
        <f t="shared" si="4"/>
        <v>0</v>
      </c>
      <c r="P51" s="19">
        <f t="shared" si="5"/>
        <v>-5.3333333333334707</v>
      </c>
      <c r="Q51" s="20">
        <f t="shared" si="6"/>
        <v>0.95999999999999897</v>
      </c>
      <c r="R51" s="170"/>
      <c r="S51" s="27">
        <v>0.80208333333333337</v>
      </c>
      <c r="T51" s="27">
        <v>0.82638888888888895</v>
      </c>
      <c r="U51" s="4">
        <f t="shared" si="38"/>
        <v>5.9999999999999787</v>
      </c>
      <c r="V51" s="21">
        <f t="shared" si="37"/>
        <v>35.000000000000036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-80.000000000001819</v>
      </c>
      <c r="AF51" s="20">
        <f t="shared" si="9"/>
        <v>0.95999999999999908</v>
      </c>
      <c r="AG51" s="170"/>
    </row>
    <row r="52" spans="1:33">
      <c r="A52" s="179" t="s">
        <v>2314</v>
      </c>
      <c r="B52" s="35" t="s">
        <v>2315</v>
      </c>
      <c r="C52" s="171"/>
      <c r="D52" s="171"/>
      <c r="E52" s="36"/>
      <c r="F52" s="16"/>
      <c r="G52" s="16"/>
      <c r="H52" s="4"/>
      <c r="I52" s="29">
        <v>18.857142857142858</v>
      </c>
      <c r="J52" s="17">
        <v>1928.5714285714287</v>
      </c>
      <c r="K52" s="16">
        <f t="shared" si="1"/>
        <v>102.27272727272728</v>
      </c>
      <c r="L52" s="29">
        <v>18.857142857142858</v>
      </c>
      <c r="M52" s="17">
        <f>AVERAGE(M45:M51)</f>
        <v>1852.1609102489074</v>
      </c>
      <c r="N52" s="16">
        <f t="shared" si="3"/>
        <v>98.220654331381454</v>
      </c>
      <c r="O52" s="18">
        <f t="shared" si="4"/>
        <v>0</v>
      </c>
      <c r="P52" s="19">
        <f t="shared" si="5"/>
        <v>-4.052072941345827</v>
      </c>
      <c r="Q52" s="20">
        <f t="shared" si="6"/>
        <v>0.96037973124017417</v>
      </c>
      <c r="R52" s="170"/>
      <c r="S52" s="27"/>
      <c r="T52" s="27"/>
      <c r="U52" s="4"/>
      <c r="V52" s="21"/>
      <c r="W52" s="16"/>
      <c r="X52" s="16"/>
      <c r="Y52" s="30">
        <f>SUM(Y45:Y51)</f>
        <v>0</v>
      </c>
      <c r="Z52" s="30">
        <f>SUM(Z45:Z51)</f>
        <v>0</v>
      </c>
      <c r="AA52" s="166"/>
      <c r="AB52" s="166"/>
      <c r="AC52" s="30">
        <f>SUM(AC45:AC51)</f>
        <v>7</v>
      </c>
      <c r="AD52" s="30">
        <f>SUM(AD45:AD51)</f>
        <v>0</v>
      </c>
      <c r="AE52" s="18">
        <f>M52-J52</f>
        <v>-76.410518322521284</v>
      </c>
      <c r="AF52" s="20">
        <f t="shared" si="9"/>
        <v>0.96037973124017417</v>
      </c>
      <c r="AG52" s="170"/>
    </row>
    <row r="53" spans="1:33" ht="15.75" customHeight="1">
      <c r="A53" s="172" t="s">
        <v>2316</v>
      </c>
      <c r="B53" s="4" t="s">
        <v>108</v>
      </c>
      <c r="C53" s="163" t="s">
        <v>125</v>
      </c>
      <c r="D53" s="163"/>
      <c r="E53" s="35">
        <v>37.85</v>
      </c>
      <c r="F53" s="38">
        <v>1519</v>
      </c>
      <c r="G53" s="4">
        <f t="shared" ref="G53:G57" si="40">E53*F53</f>
        <v>57494.15</v>
      </c>
      <c r="H53" s="21" t="s">
        <v>133</v>
      </c>
      <c r="I53" s="15">
        <v>12</v>
      </c>
      <c r="J53" s="17">
        <v>2000</v>
      </c>
      <c r="K53" s="16">
        <f t="shared" si="1"/>
        <v>166.66666666666666</v>
      </c>
      <c r="L53" s="15">
        <v>12</v>
      </c>
      <c r="M53" s="17">
        <f t="shared" ref="M53:M57" si="41">F53/V53*60</f>
        <v>1939.1489361702129</v>
      </c>
      <c r="N53" s="16">
        <f t="shared" si="3"/>
        <v>161.59574468085108</v>
      </c>
      <c r="O53" s="18">
        <f t="shared" si="4"/>
        <v>0</v>
      </c>
      <c r="P53" s="19">
        <f t="shared" si="5"/>
        <v>-5.0709219858155734</v>
      </c>
      <c r="Q53" s="20">
        <f t="shared" si="6"/>
        <v>0.96957446808510661</v>
      </c>
      <c r="R53" s="170">
        <f>Q58</f>
        <v>0.9642269548246134</v>
      </c>
      <c r="S53" s="27">
        <v>0.20833333333333334</v>
      </c>
      <c r="T53" s="27">
        <v>0.24097222222222223</v>
      </c>
      <c r="U53" s="4"/>
      <c r="V53" s="21">
        <f t="shared" ref="V53:V57" si="42">(T53-S53)*24*60</f>
        <v>46.999999999999993</v>
      </c>
      <c r="W53" s="27"/>
      <c r="X53" s="27"/>
      <c r="Y53" s="27"/>
      <c r="Z53" s="27"/>
      <c r="AA53" s="162"/>
      <c r="AB53" s="162"/>
      <c r="AC53" s="24">
        <v>5</v>
      </c>
      <c r="AD53" s="24"/>
      <c r="AE53" s="18">
        <f t="shared" ref="AE53:AE64" si="43">M53-J53</f>
        <v>-60.851063829787108</v>
      </c>
      <c r="AF53" s="20">
        <f t="shared" si="9"/>
        <v>0.9695744680851065</v>
      </c>
      <c r="AG53" s="170">
        <f>AF58</f>
        <v>0.9642269548246134</v>
      </c>
    </row>
    <row r="54" spans="1:33" ht="15.75" customHeight="1">
      <c r="A54" s="172" t="s">
        <v>2316</v>
      </c>
      <c r="B54" s="4" t="s">
        <v>108</v>
      </c>
      <c r="C54" s="163" t="s">
        <v>126</v>
      </c>
      <c r="D54" s="163"/>
      <c r="E54" s="35">
        <v>34.36</v>
      </c>
      <c r="F54" s="38">
        <v>1963</v>
      </c>
      <c r="G54" s="4">
        <f t="shared" si="40"/>
        <v>67448.679999999993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41"/>
        <v>2872.6829268292672</v>
      </c>
      <c r="N54" s="16">
        <f t="shared" si="3"/>
        <v>287.2682926829267</v>
      </c>
      <c r="O54" s="18">
        <f t="shared" si="4"/>
        <v>0</v>
      </c>
      <c r="P54" s="19">
        <f t="shared" si="5"/>
        <v>-12.731707317073301</v>
      </c>
      <c r="Q54" s="20">
        <f t="shared" si="6"/>
        <v>0.95756097560975562</v>
      </c>
      <c r="R54" s="170"/>
      <c r="S54" s="27">
        <v>0.24583333333333335</v>
      </c>
      <c r="T54" s="27">
        <v>0.27430555555555558</v>
      </c>
      <c r="U54" s="4">
        <f t="shared" ref="U54:U57" si="44">(S54-T53)*24*60</f>
        <v>7.0000000000000151</v>
      </c>
      <c r="V54" s="21">
        <f t="shared" si="42"/>
        <v>41.000000000000014</v>
      </c>
      <c r="W54" s="4"/>
      <c r="X54" s="4"/>
      <c r="Y54" s="4"/>
      <c r="Z54" s="4"/>
      <c r="AA54" s="162"/>
      <c r="AB54" s="162"/>
      <c r="AC54" s="24"/>
      <c r="AD54" s="24"/>
      <c r="AE54" s="18">
        <f t="shared" si="43"/>
        <v>-127.31707317073278</v>
      </c>
      <c r="AF54" s="20">
        <f t="shared" si="9"/>
        <v>0.95756097560975573</v>
      </c>
      <c r="AG54" s="170"/>
    </row>
    <row r="55" spans="1:33" ht="15.75" customHeight="1">
      <c r="A55" s="172" t="s">
        <v>2316</v>
      </c>
      <c r="B55" s="4" t="s">
        <v>108</v>
      </c>
      <c r="C55" s="163" t="s">
        <v>127</v>
      </c>
      <c r="D55" s="163"/>
      <c r="E55" s="35">
        <v>35.119999999999997</v>
      </c>
      <c r="F55" s="38">
        <v>4968</v>
      </c>
      <c r="G55" s="4">
        <f t="shared" si="40"/>
        <v>174476.15999999997</v>
      </c>
      <c r="H55" s="21" t="s">
        <v>133</v>
      </c>
      <c r="I55" s="15">
        <v>10</v>
      </c>
      <c r="J55" s="17">
        <v>3000</v>
      </c>
      <c r="K55" s="16">
        <f t="shared" si="1"/>
        <v>300</v>
      </c>
      <c r="L55" s="15">
        <v>10</v>
      </c>
      <c r="M55" s="17">
        <f t="shared" si="41"/>
        <v>2866.1538461538457</v>
      </c>
      <c r="N55" s="16">
        <f t="shared" si="3"/>
        <v>286.61538461538458</v>
      </c>
      <c r="O55" s="18">
        <f t="shared" si="4"/>
        <v>0</v>
      </c>
      <c r="P55" s="19">
        <f t="shared" si="5"/>
        <v>-13.384615384615415</v>
      </c>
      <c r="Q55" s="20">
        <f t="shared" si="6"/>
        <v>0.95538461538461528</v>
      </c>
      <c r="R55" s="170"/>
      <c r="S55" s="27">
        <v>0.27916666666666667</v>
      </c>
      <c r="T55" s="27">
        <v>0.35138888888888892</v>
      </c>
      <c r="U55" s="4">
        <f t="shared" si="44"/>
        <v>6.9999999999999751</v>
      </c>
      <c r="V55" s="21">
        <f t="shared" si="42"/>
        <v>104.00000000000003</v>
      </c>
      <c r="W55" s="4"/>
      <c r="X55" s="4"/>
      <c r="Y55" s="4"/>
      <c r="Z55" s="4"/>
      <c r="AA55" s="162"/>
      <c r="AB55" s="162"/>
      <c r="AC55" s="24"/>
      <c r="AD55" s="24"/>
      <c r="AE55" s="18">
        <f t="shared" si="43"/>
        <v>-133.84615384615427</v>
      </c>
      <c r="AF55" s="20">
        <f t="shared" si="9"/>
        <v>0.95538461538461528</v>
      </c>
      <c r="AG55" s="170"/>
    </row>
    <row r="56" spans="1:33" ht="15.75" customHeight="1">
      <c r="A56" s="172" t="s">
        <v>2316</v>
      </c>
      <c r="B56" s="4" t="s">
        <v>108</v>
      </c>
      <c r="C56" s="163" t="s">
        <v>109</v>
      </c>
      <c r="D56" s="163"/>
      <c r="E56" s="35">
        <v>34.36</v>
      </c>
      <c r="F56" s="38">
        <v>1852</v>
      </c>
      <c r="G56" s="4">
        <f t="shared" si="40"/>
        <v>63634.720000000001</v>
      </c>
      <c r="H56" s="21" t="s">
        <v>133</v>
      </c>
      <c r="I56" s="15">
        <v>10</v>
      </c>
      <c r="J56" s="17">
        <v>3000</v>
      </c>
      <c r="K56" s="16">
        <f t="shared" si="1"/>
        <v>300</v>
      </c>
      <c r="L56" s="15">
        <v>10</v>
      </c>
      <c r="M56" s="17">
        <f t="shared" si="41"/>
        <v>2924.2105263157873</v>
      </c>
      <c r="N56" s="16">
        <f t="shared" si="3"/>
        <v>292.42105263157873</v>
      </c>
      <c r="O56" s="18">
        <f t="shared" si="4"/>
        <v>0</v>
      </c>
      <c r="P56" s="19">
        <f t="shared" si="5"/>
        <v>-7.578947368421268</v>
      </c>
      <c r="Q56" s="20">
        <f t="shared" si="6"/>
        <v>0.97473684210526246</v>
      </c>
      <c r="R56" s="170"/>
      <c r="S56" s="27">
        <v>0.35486111111111113</v>
      </c>
      <c r="T56" s="27">
        <v>0.38125000000000003</v>
      </c>
      <c r="U56" s="4">
        <f t="shared" si="44"/>
        <v>4.9999999999999822</v>
      </c>
      <c r="V56" s="21">
        <f t="shared" si="42"/>
        <v>38.000000000000028</v>
      </c>
      <c r="W56" s="4"/>
      <c r="X56" s="4"/>
      <c r="Y56" s="4"/>
      <c r="Z56" s="4"/>
      <c r="AA56" s="162"/>
      <c r="AB56" s="162"/>
      <c r="AC56" s="24"/>
      <c r="AD56" s="24"/>
      <c r="AE56" s="18">
        <f t="shared" si="43"/>
        <v>-75.78947368421268</v>
      </c>
      <c r="AF56" s="20">
        <f t="shared" si="9"/>
        <v>0.97473684210526246</v>
      </c>
      <c r="AG56" s="170"/>
    </row>
    <row r="57" spans="1:33">
      <c r="A57" s="173" t="s">
        <v>2316</v>
      </c>
      <c r="B57" s="4" t="s">
        <v>108</v>
      </c>
      <c r="C57" s="163" t="s">
        <v>110</v>
      </c>
      <c r="D57" s="163"/>
      <c r="E57" s="35">
        <v>26.78</v>
      </c>
      <c r="F57" s="38">
        <v>2559</v>
      </c>
      <c r="G57" s="4">
        <f t="shared" si="40"/>
        <v>68530.02</v>
      </c>
      <c r="H57" s="21" t="s">
        <v>133</v>
      </c>
      <c r="I57" s="15">
        <v>10</v>
      </c>
      <c r="J57" s="17">
        <v>3000</v>
      </c>
      <c r="K57" s="16">
        <f t="shared" si="1"/>
        <v>300</v>
      </c>
      <c r="L57" s="15">
        <v>10</v>
      </c>
      <c r="M57" s="17">
        <f t="shared" si="41"/>
        <v>2896.9811320754734</v>
      </c>
      <c r="N57" s="16">
        <f t="shared" si="3"/>
        <v>289.69811320754735</v>
      </c>
      <c r="O57" s="18">
        <f t="shared" si="4"/>
        <v>0</v>
      </c>
      <c r="P57" s="19">
        <f t="shared" si="5"/>
        <v>-10.301886792452649</v>
      </c>
      <c r="Q57" s="20">
        <f t="shared" si="6"/>
        <v>0.9656603773584912</v>
      </c>
      <c r="R57" s="170"/>
      <c r="S57" s="27">
        <v>0.38541666666666669</v>
      </c>
      <c r="T57" s="27">
        <v>0.42222222222222222</v>
      </c>
      <c r="U57" s="4">
        <f t="shared" si="44"/>
        <v>5.9999999999999787</v>
      </c>
      <c r="V57" s="21">
        <f t="shared" si="42"/>
        <v>52.999999999999972</v>
      </c>
      <c r="W57" s="22"/>
      <c r="X57" s="22"/>
      <c r="Y57" s="22"/>
      <c r="Z57" s="22"/>
      <c r="AA57" s="162"/>
      <c r="AB57" s="162"/>
      <c r="AC57" s="24"/>
      <c r="AD57" s="24"/>
      <c r="AE57" s="18">
        <f t="shared" si="43"/>
        <v>-103.0188679245266</v>
      </c>
      <c r="AF57" s="20">
        <f t="shared" si="9"/>
        <v>0.96566037735849108</v>
      </c>
      <c r="AG57" s="170"/>
    </row>
    <row r="58" spans="1:33">
      <c r="A58" s="173" t="s">
        <v>2316</v>
      </c>
      <c r="B58" s="35" t="s">
        <v>2315</v>
      </c>
      <c r="C58" s="171"/>
      <c r="D58" s="171"/>
      <c r="E58" s="36"/>
      <c r="F58" s="16"/>
      <c r="G58" s="16"/>
      <c r="H58" s="4"/>
      <c r="I58" s="29">
        <v>10.4</v>
      </c>
      <c r="J58" s="17">
        <v>2800</v>
      </c>
      <c r="K58" s="16">
        <f t="shared" si="1"/>
        <v>269.23076923076923</v>
      </c>
      <c r="L58" s="29">
        <v>10.4</v>
      </c>
      <c r="M58" s="17">
        <f>AVERAGE(M53:M57)</f>
        <v>2699.8354735089174</v>
      </c>
      <c r="N58" s="16">
        <f t="shared" si="3"/>
        <v>259.59956476047284</v>
      </c>
      <c r="O58" s="18">
        <f t="shared" si="4"/>
        <v>0</v>
      </c>
      <c r="P58" s="19">
        <f t="shared" si="5"/>
        <v>-9.6312044702963817</v>
      </c>
      <c r="Q58" s="20">
        <f t="shared" si="6"/>
        <v>0.9642269548246134</v>
      </c>
      <c r="R58" s="170"/>
      <c r="S58" s="27"/>
      <c r="T58" s="27"/>
      <c r="U58" s="16"/>
      <c r="V58" s="21"/>
      <c r="W58" s="16"/>
      <c r="X58" s="16"/>
      <c r="Y58" s="30">
        <f>SUM(Y53:Y57)</f>
        <v>0</v>
      </c>
      <c r="Z58" s="30">
        <f>SUM(Z53:Z57)</f>
        <v>0</v>
      </c>
      <c r="AA58" s="166"/>
      <c r="AB58" s="166"/>
      <c r="AC58" s="30">
        <f>SUM(AC53:AC57)</f>
        <v>5</v>
      </c>
      <c r="AD58" s="30">
        <f>SUM(AD53:AD57)</f>
        <v>0</v>
      </c>
      <c r="AE58" s="18">
        <f t="shared" si="43"/>
        <v>-100.1645264910826</v>
      </c>
      <c r="AF58" s="20">
        <f t="shared" si="9"/>
        <v>0.9642269548246134</v>
      </c>
      <c r="AG58" s="170"/>
    </row>
    <row r="59" spans="1:33" ht="15.75" customHeight="1">
      <c r="A59" s="167" t="s">
        <v>2317</v>
      </c>
      <c r="B59" s="4" t="s">
        <v>97</v>
      </c>
      <c r="C59" s="163" t="s">
        <v>128</v>
      </c>
      <c r="D59" s="163"/>
      <c r="E59" s="35">
        <v>20.2</v>
      </c>
      <c r="F59" s="4">
        <v>2097</v>
      </c>
      <c r="G59" s="4">
        <f t="shared" ref="G59:G63" si="45">E59*F59</f>
        <v>42359.4</v>
      </c>
      <c r="H59" s="21" t="s">
        <v>133</v>
      </c>
      <c r="I59" s="15">
        <v>15</v>
      </c>
      <c r="J59" s="17">
        <v>2400</v>
      </c>
      <c r="K59" s="16">
        <f t="shared" si="1"/>
        <v>160</v>
      </c>
      <c r="L59" s="15">
        <v>15</v>
      </c>
      <c r="M59" s="17">
        <f t="shared" ref="M59:M63" si="46">F59/V59*60</f>
        <v>2287.6363636363644</v>
      </c>
      <c r="N59" s="16">
        <f t="shared" si="3"/>
        <v>152.50909090909096</v>
      </c>
      <c r="O59" s="18">
        <f t="shared" si="4"/>
        <v>0</v>
      </c>
      <c r="P59" s="19">
        <f t="shared" si="5"/>
        <v>-7.4909090909090423</v>
      </c>
      <c r="Q59" s="20">
        <f t="shared" si="6"/>
        <v>0.95318181818181846</v>
      </c>
      <c r="R59" s="170">
        <f>Q64</f>
        <v>0.95364968036225617</v>
      </c>
      <c r="S59" s="27">
        <v>8.3333333333333329E-2</v>
      </c>
      <c r="T59" s="27">
        <v>0.12152777777777776</v>
      </c>
      <c r="U59" s="27"/>
      <c r="V59" s="21">
        <f t="shared" ref="V59:V63" si="47">(T59-S59)*24*60</f>
        <v>54.999999999999986</v>
      </c>
      <c r="W59" s="22">
        <f>T59</f>
        <v>0.12152777777777776</v>
      </c>
      <c r="X59" s="22">
        <f>S60</f>
        <v>0.14166666666666666</v>
      </c>
      <c r="Y59" s="22"/>
      <c r="Z59" s="22"/>
      <c r="AA59" s="162"/>
      <c r="AB59" s="162"/>
      <c r="AC59" s="24">
        <v>5</v>
      </c>
      <c r="AD59" s="24"/>
      <c r="AE59" s="18">
        <f t="shared" si="43"/>
        <v>-112.36363636363558</v>
      </c>
      <c r="AF59" s="20">
        <f t="shared" si="9"/>
        <v>0.95318181818181846</v>
      </c>
      <c r="AG59" s="170">
        <f>AF64</f>
        <v>0.95364968036225606</v>
      </c>
    </row>
    <row r="60" spans="1:33" ht="15.75" customHeight="1">
      <c r="A60" s="168" t="s">
        <v>2317</v>
      </c>
      <c r="B60" s="4" t="s">
        <v>97</v>
      </c>
      <c r="C60" s="163" t="s">
        <v>129</v>
      </c>
      <c r="D60" s="163"/>
      <c r="E60" s="35">
        <v>24.45</v>
      </c>
      <c r="F60" s="4">
        <v>2578</v>
      </c>
      <c r="G60" s="4">
        <f t="shared" si="45"/>
        <v>63032.1</v>
      </c>
      <c r="H60" s="21" t="s">
        <v>133</v>
      </c>
      <c r="I60" s="15">
        <v>19</v>
      </c>
      <c r="J60" s="17">
        <v>2400</v>
      </c>
      <c r="K60" s="16">
        <f t="shared" si="1"/>
        <v>126.31578947368421</v>
      </c>
      <c r="L60" s="15">
        <v>19</v>
      </c>
      <c r="M60" s="17">
        <f t="shared" si="46"/>
        <v>2308.6567164179105</v>
      </c>
      <c r="N60" s="16">
        <f t="shared" si="3"/>
        <v>121.50824823252161</v>
      </c>
      <c r="O60" s="18">
        <f t="shared" si="4"/>
        <v>0</v>
      </c>
      <c r="P60" s="19">
        <f t="shared" si="5"/>
        <v>-4.8075412411625962</v>
      </c>
      <c r="Q60" s="20">
        <f t="shared" si="6"/>
        <v>0.96194029850746277</v>
      </c>
      <c r="R60" s="170"/>
      <c r="S60" s="27">
        <v>0.14166666666666666</v>
      </c>
      <c r="T60" s="27">
        <v>0.18819444444444444</v>
      </c>
      <c r="U60" s="4">
        <f t="shared" ref="U60:U63" si="48">(S60-T59)*24*60</f>
        <v>29.000000000000018</v>
      </c>
      <c r="V60" s="21">
        <f t="shared" si="47"/>
        <v>67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-91.343283582089498</v>
      </c>
      <c r="AF60" s="20">
        <f t="shared" si="9"/>
        <v>0.96194029850746265</v>
      </c>
      <c r="AG60" s="170"/>
    </row>
    <row r="61" spans="1:33" ht="15.75" customHeight="1">
      <c r="A61" s="168" t="s">
        <v>2317</v>
      </c>
      <c r="B61" s="4" t="s">
        <v>97</v>
      </c>
      <c r="C61" s="163" t="s">
        <v>106</v>
      </c>
      <c r="D61" s="163"/>
      <c r="E61" s="35">
        <v>20.21</v>
      </c>
      <c r="F61" s="4">
        <v>2851</v>
      </c>
      <c r="G61" s="4">
        <f t="shared" si="45"/>
        <v>57618.71</v>
      </c>
      <c r="H61" s="21" t="s">
        <v>133</v>
      </c>
      <c r="I61" s="15">
        <v>15</v>
      </c>
      <c r="J61" s="17">
        <v>2400</v>
      </c>
      <c r="K61" s="16">
        <f t="shared" si="1"/>
        <v>160</v>
      </c>
      <c r="L61" s="15">
        <v>15</v>
      </c>
      <c r="M61" s="17">
        <f t="shared" si="46"/>
        <v>2280.7999999999997</v>
      </c>
      <c r="N61" s="16">
        <f t="shared" si="3"/>
        <v>152.05333333333331</v>
      </c>
      <c r="O61" s="18">
        <f t="shared" si="4"/>
        <v>0</v>
      </c>
      <c r="P61" s="19">
        <f t="shared" si="5"/>
        <v>-7.9466666666666868</v>
      </c>
      <c r="Q61" s="20">
        <f t="shared" si="6"/>
        <v>0.95033333333333325</v>
      </c>
      <c r="R61" s="170"/>
      <c r="S61" s="27">
        <v>0.19236111111111112</v>
      </c>
      <c r="T61" s="27">
        <v>0.24444444444444446</v>
      </c>
      <c r="U61" s="4">
        <f t="shared" si="48"/>
        <v>6.0000000000000187</v>
      </c>
      <c r="V61" s="21">
        <f t="shared" si="47"/>
        <v>75.000000000000014</v>
      </c>
      <c r="W61" s="22"/>
      <c r="X61" s="22"/>
      <c r="Y61" s="22"/>
      <c r="Z61" s="22"/>
      <c r="AA61" s="162"/>
      <c r="AB61" s="162"/>
      <c r="AC61" s="24"/>
      <c r="AD61" s="24"/>
      <c r="AE61" s="18">
        <f t="shared" si="43"/>
        <v>-119.20000000000027</v>
      </c>
      <c r="AF61" s="20">
        <f t="shared" si="9"/>
        <v>0.95033333333333325</v>
      </c>
      <c r="AG61" s="170"/>
    </row>
    <row r="62" spans="1:33" ht="15.75" customHeight="1">
      <c r="A62" s="168" t="s">
        <v>2317</v>
      </c>
      <c r="B62" s="4" t="s">
        <v>97</v>
      </c>
      <c r="C62" s="163" t="s">
        <v>130</v>
      </c>
      <c r="D62" s="163"/>
      <c r="E62" s="35">
        <v>24.43</v>
      </c>
      <c r="F62" s="4">
        <v>6207</v>
      </c>
      <c r="G62" s="4">
        <f t="shared" si="45"/>
        <v>151637.01</v>
      </c>
      <c r="H62" s="21" t="s">
        <v>133</v>
      </c>
      <c r="I62" s="15">
        <v>14</v>
      </c>
      <c r="J62" s="17">
        <v>2400</v>
      </c>
      <c r="K62" s="16">
        <f t="shared" si="1"/>
        <v>171.42857142857142</v>
      </c>
      <c r="L62" s="15">
        <v>14</v>
      </c>
      <c r="M62" s="17">
        <f t="shared" si="46"/>
        <v>2284.78527607362</v>
      </c>
      <c r="N62" s="16">
        <f t="shared" si="3"/>
        <v>163.19894829097285</v>
      </c>
      <c r="O62" s="18">
        <f t="shared" si="4"/>
        <v>0</v>
      </c>
      <c r="P62" s="19">
        <f t="shared" si="5"/>
        <v>-8.2296231375985656</v>
      </c>
      <c r="Q62" s="20">
        <f t="shared" si="6"/>
        <v>0.95199386503067507</v>
      </c>
      <c r="R62" s="170"/>
      <c r="S62" s="27">
        <v>0.25</v>
      </c>
      <c r="T62" s="27">
        <v>0.36319444444444443</v>
      </c>
      <c r="U62" s="4">
        <f t="shared" si="48"/>
        <v>7.9999999999999716</v>
      </c>
      <c r="V62" s="21">
        <f t="shared" si="47"/>
        <v>162.99999999999997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3"/>
        <v>-115.21472392637997</v>
      </c>
      <c r="AF62" s="20">
        <f t="shared" si="9"/>
        <v>0.95199386503067496</v>
      </c>
      <c r="AG62" s="170"/>
    </row>
    <row r="63" spans="1:33" ht="15.75" customHeight="1">
      <c r="A63" s="168" t="s">
        <v>2317</v>
      </c>
      <c r="B63" s="4" t="s">
        <v>97</v>
      </c>
      <c r="C63" s="163" t="s">
        <v>132</v>
      </c>
      <c r="D63" s="163"/>
      <c r="E63" s="35">
        <v>19.02</v>
      </c>
      <c r="F63" s="4">
        <v>8329</v>
      </c>
      <c r="G63" s="4">
        <f t="shared" si="45"/>
        <v>158417.57999999999</v>
      </c>
      <c r="H63" s="21" t="s">
        <v>133</v>
      </c>
      <c r="I63" s="15">
        <v>14</v>
      </c>
      <c r="J63" s="17">
        <v>2400</v>
      </c>
      <c r="K63" s="16">
        <f t="shared" si="1"/>
        <v>171.42857142857142</v>
      </c>
      <c r="L63" s="15">
        <v>14</v>
      </c>
      <c r="M63" s="17">
        <f t="shared" si="46"/>
        <v>2281.9178082191788</v>
      </c>
      <c r="N63" s="16">
        <f t="shared" si="3"/>
        <v>162.99412915851278</v>
      </c>
      <c r="O63" s="18">
        <f t="shared" si="4"/>
        <v>0</v>
      </c>
      <c r="P63" s="19">
        <f t="shared" si="5"/>
        <v>-8.4344422700586392</v>
      </c>
      <c r="Q63" s="20">
        <f t="shared" si="6"/>
        <v>0.9507990867579913</v>
      </c>
      <c r="R63" s="170"/>
      <c r="S63" s="27">
        <v>0.36805555555555552</v>
      </c>
      <c r="T63" s="27">
        <v>0.52013888888888882</v>
      </c>
      <c r="U63" s="4">
        <f t="shared" si="48"/>
        <v>6.9999999999999751</v>
      </c>
      <c r="V63" s="21">
        <f t="shared" si="47"/>
        <v>218.99999999999994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-118.08219178082118</v>
      </c>
      <c r="AF63" s="20">
        <f t="shared" si="9"/>
        <v>0.95079908675799119</v>
      </c>
      <c r="AG63" s="170"/>
    </row>
    <row r="64" spans="1:33" ht="16.5" customHeight="1">
      <c r="A64" s="169" t="s">
        <v>2317</v>
      </c>
      <c r="B64" s="35" t="s">
        <v>2315</v>
      </c>
      <c r="C64" s="164"/>
      <c r="D64" s="165"/>
      <c r="E64" s="36"/>
      <c r="F64" s="16"/>
      <c r="G64" s="16"/>
      <c r="H64" s="4"/>
      <c r="I64" s="29">
        <v>15.4</v>
      </c>
      <c r="J64" s="17">
        <v>2400</v>
      </c>
      <c r="K64" s="16">
        <f t="shared" si="1"/>
        <v>155.84415584415584</v>
      </c>
      <c r="L64" s="29">
        <v>15.4</v>
      </c>
      <c r="M64" s="17">
        <f>AVERAGE(M59:M63)</f>
        <v>2288.7592328694145</v>
      </c>
      <c r="N64" s="16">
        <f t="shared" si="3"/>
        <v>148.62072940710485</v>
      </c>
      <c r="O64" s="18">
        <f t="shared" si="4"/>
        <v>0</v>
      </c>
      <c r="P64" s="19">
        <f t="shared" si="5"/>
        <v>-7.2234264370509891</v>
      </c>
      <c r="Q64" s="20">
        <f t="shared" si="6"/>
        <v>0.95364968036225617</v>
      </c>
      <c r="R64" s="170"/>
      <c r="S64" s="27"/>
      <c r="T64" s="27"/>
      <c r="U64" s="16"/>
      <c r="V64" s="21"/>
      <c r="W64" s="16"/>
      <c r="X64" s="16"/>
      <c r="Y64" s="30">
        <f>SUM(Y59:Y63)</f>
        <v>0</v>
      </c>
      <c r="Z64" s="30">
        <f>SUM(Z59:Z63)</f>
        <v>0</v>
      </c>
      <c r="AA64" s="166"/>
      <c r="AB64" s="166"/>
      <c r="AC64" s="30">
        <f>SUM(AC59:AC63)</f>
        <v>5</v>
      </c>
      <c r="AD64" s="30">
        <f>SUM(AD59:AD63)</f>
        <v>0</v>
      </c>
      <c r="AE64" s="18">
        <f t="shared" si="43"/>
        <v>-111.24076713058548</v>
      </c>
      <c r="AF64" s="20">
        <f t="shared" si="9"/>
        <v>0.95364968036225606</v>
      </c>
      <c r="AG64" s="170"/>
    </row>
    <row r="65" spans="4:5">
      <c r="D65" s="41"/>
      <c r="E65" s="41"/>
    </row>
  </sheetData>
  <mergeCells count="181"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57:D57"/>
    <mergeCell ref="AA57:AB57"/>
    <mergeCell ref="C58:D58"/>
    <mergeCell ref="A59:A64"/>
    <mergeCell ref="C59:D59"/>
    <mergeCell ref="R59:R64"/>
    <mergeCell ref="AA59:AB59"/>
    <mergeCell ref="A53:A58"/>
    <mergeCell ref="C53:D53"/>
    <mergeCell ref="R53:R58"/>
    <mergeCell ref="AA53:AB53"/>
    <mergeCell ref="AA58:AB58"/>
    <mergeCell ref="A45:A52"/>
    <mergeCell ref="C45:D45"/>
    <mergeCell ref="R45:R52"/>
    <mergeCell ref="AA45:AB45"/>
    <mergeCell ref="AA51:AB51"/>
    <mergeCell ref="AG53:AG58"/>
    <mergeCell ref="C54:D54"/>
    <mergeCell ref="AA54:AB54"/>
    <mergeCell ref="C55:D55"/>
    <mergeCell ref="C52:D52"/>
    <mergeCell ref="AA52:AB52"/>
    <mergeCell ref="AG45:AG52"/>
    <mergeCell ref="C46:D46"/>
    <mergeCell ref="AA46:AB46"/>
    <mergeCell ref="C47:D47"/>
    <mergeCell ref="AA47:AB47"/>
    <mergeCell ref="AA48:AB48"/>
    <mergeCell ref="AA49:AB49"/>
    <mergeCell ref="C50:D50"/>
    <mergeCell ref="AA50:AB50"/>
    <mergeCell ref="C51:D51"/>
    <mergeCell ref="AA55:AB55"/>
    <mergeCell ref="C56:D56"/>
    <mergeCell ref="AA56:AB56"/>
    <mergeCell ref="AG32:AG38"/>
    <mergeCell ref="C33:D33"/>
    <mergeCell ref="AA33:AB33"/>
    <mergeCell ref="C34:D34"/>
    <mergeCell ref="AA34:AB34"/>
    <mergeCell ref="C35:D35"/>
    <mergeCell ref="AG39:AG44"/>
    <mergeCell ref="C40:D40"/>
    <mergeCell ref="AA40:AB40"/>
    <mergeCell ref="C41:D41"/>
    <mergeCell ref="AA41:AB41"/>
    <mergeCell ref="C42:D42"/>
    <mergeCell ref="AA35:AB35"/>
    <mergeCell ref="C36:D36"/>
    <mergeCell ref="AA36:AB36"/>
    <mergeCell ref="C37:D37"/>
    <mergeCell ref="AA37:AB37"/>
    <mergeCell ref="C38:D38"/>
    <mergeCell ref="AA42:AB42"/>
    <mergeCell ref="C43:D43"/>
    <mergeCell ref="AA43:AB43"/>
    <mergeCell ref="C44:D44"/>
    <mergeCell ref="AA44:AB44"/>
    <mergeCell ref="AA30:AB30"/>
    <mergeCell ref="C31:D31"/>
    <mergeCell ref="AA31:AB31"/>
    <mergeCell ref="A39:A44"/>
    <mergeCell ref="C39:D39"/>
    <mergeCell ref="R39:R44"/>
    <mergeCell ref="AA39:AB39"/>
    <mergeCell ref="A26:A31"/>
    <mergeCell ref="C26:D26"/>
    <mergeCell ref="R26:R31"/>
    <mergeCell ref="AA26:AB26"/>
    <mergeCell ref="A32:A38"/>
    <mergeCell ref="C32:D32"/>
    <mergeCell ref="R32:R38"/>
    <mergeCell ref="AA32:AB32"/>
    <mergeCell ref="C30:D30"/>
    <mergeCell ref="A19:A25"/>
    <mergeCell ref="C19:D19"/>
    <mergeCell ref="R19:R25"/>
    <mergeCell ref="AA19:AB19"/>
    <mergeCell ref="AA24:AB24"/>
    <mergeCell ref="C25:D25"/>
    <mergeCell ref="AA38:AB38"/>
    <mergeCell ref="AG26:AG31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AA25:AB25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C7:D7"/>
    <mergeCell ref="AA7:AB7"/>
    <mergeCell ref="C8:D8"/>
    <mergeCell ref="AA8:AB8"/>
    <mergeCell ref="C9:D9"/>
    <mergeCell ref="AA9:AB9"/>
    <mergeCell ref="AE3:AE4"/>
    <mergeCell ref="AF3:AF4"/>
    <mergeCell ref="K3:K4"/>
    <mergeCell ref="L3:L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G3:AG4"/>
    <mergeCell ref="M3:M4"/>
  </mergeCells>
  <phoneticPr fontId="3" type="noConversion"/>
  <conditionalFormatting sqref="O5:O64">
    <cfRule type="cellIs" dxfId="226" priority="9" operator="greaterThan">
      <formula>0</formula>
    </cfRule>
  </conditionalFormatting>
  <conditionalFormatting sqref="P5:P64">
    <cfRule type="cellIs" dxfId="225" priority="1" operator="lessThan">
      <formula>0</formula>
    </cfRule>
  </conditionalFormatting>
  <conditionalFormatting sqref="Q5:Q64 AF5:AF64">
    <cfRule type="cellIs" dxfId="224" priority="10" operator="greaterThan">
      <formula>1</formula>
    </cfRule>
    <cfRule type="cellIs" dxfId="223" priority="11" operator="lessThan">
      <formula>0.8</formula>
    </cfRule>
  </conditionalFormatting>
  <conditionalFormatting sqref="R5:R10 AG5:AG10">
    <cfRule type="cellIs" dxfId="222" priority="42" operator="lessThan">
      <formula>0.8</formula>
    </cfRule>
  </conditionalFormatting>
  <conditionalFormatting sqref="AE5:AE64">
    <cfRule type="cellIs" dxfId="221" priority="12" operator="lessThan">
      <formula>0</formula>
    </cfRule>
  </conditionalFormatting>
  <conditionalFormatting sqref="AG14:AG56 R14:R64">
    <cfRule type="cellIs" dxfId="220" priority="13" operator="lessThan">
      <formula>0.8</formula>
    </cfRule>
  </conditionalFormatting>
  <dataValidations count="1">
    <dataValidation type="list" allowBlank="1" showInputMessage="1" showErrorMessage="1" sqref="AB9 AA5:AB8 AB57 AA9:AA57 AB11:AB53 AA58:AB64" xr:uid="{00000000-0002-0000-0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Q32"/>
  <sheetViews>
    <sheetView zoomScale="85" zoomScaleNormal="85" workbookViewId="0"/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2137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135</v>
      </c>
      <c r="C3" s="151" t="str">
        <f>TEXT('0325 4度C'!A2,"yyyy.mm.ddaaaa")</f>
        <v>2026.03.25星期三</v>
      </c>
      <c r="D3" s="152"/>
      <c r="E3" s="45" t="s">
        <v>2138</v>
      </c>
      <c r="F3" s="153">
        <f>'0325 4度C'!D1</f>
        <v>154271</v>
      </c>
      <c r="G3" s="154"/>
      <c r="H3" s="45" t="s">
        <v>2139</v>
      </c>
      <c r="I3" s="155">
        <f>'0325 4度C'!F1</f>
        <v>5108821.2300000004</v>
      </c>
      <c r="J3" s="156"/>
      <c r="K3" s="46"/>
      <c r="L3" s="47"/>
      <c r="M3" s="47"/>
      <c r="N3" s="47"/>
    </row>
    <row r="4" spans="2:17" ht="28.5" customHeight="1">
      <c r="B4" s="157" t="s">
        <v>2140</v>
      </c>
      <c r="C4" s="143" t="s">
        <v>2141</v>
      </c>
      <c r="D4" s="144"/>
      <c r="E4" s="160" t="s">
        <v>2142</v>
      </c>
      <c r="F4" s="161"/>
      <c r="G4" s="160" t="s">
        <v>2143</v>
      </c>
      <c r="H4" s="161"/>
      <c r="I4" s="160" t="s">
        <v>2144</v>
      </c>
      <c r="J4" s="161"/>
      <c r="K4" s="141" t="s">
        <v>2145</v>
      </c>
      <c r="L4" s="142"/>
      <c r="M4" s="142" t="s">
        <v>2146</v>
      </c>
      <c r="N4" s="142"/>
    </row>
    <row r="5" spans="2:17" ht="28.5" customHeight="1">
      <c r="B5" s="158"/>
      <c r="C5" s="143" t="s">
        <v>2147</v>
      </c>
      <c r="D5" s="144"/>
      <c r="E5" s="143" t="s">
        <v>146</v>
      </c>
      <c r="F5" s="144"/>
      <c r="G5" s="145" t="s">
        <v>2148</v>
      </c>
      <c r="H5" s="146"/>
      <c r="I5" s="147" t="s">
        <v>2149</v>
      </c>
      <c r="J5" s="148"/>
      <c r="K5" s="48" t="s">
        <v>2150</v>
      </c>
      <c r="L5" s="49" t="s">
        <v>2151</v>
      </c>
      <c r="M5" s="48" t="s">
        <v>2150</v>
      </c>
      <c r="N5" s="49" t="s">
        <v>2152</v>
      </c>
    </row>
    <row r="6" spans="2:17" ht="28.5" customHeight="1">
      <c r="B6" s="158"/>
      <c r="C6" s="143" t="s">
        <v>153</v>
      </c>
      <c r="D6" s="144"/>
      <c r="E6" s="135">
        <f>AVERAGE(D13:M13)</f>
        <v>155.35178028771725</v>
      </c>
      <c r="F6" s="136">
        <f>AVERAGE(D31:O31,D13:J13)</f>
        <v>161.42385053233187</v>
      </c>
      <c r="G6" s="137">
        <f>AVERAGE(D13:J13)</f>
        <v>161.42385053233187</v>
      </c>
      <c r="H6" s="138"/>
      <c r="I6" s="137">
        <f>AVERAGE(K13:M13)</f>
        <v>141.1836163836164</v>
      </c>
      <c r="J6" s="138"/>
      <c r="K6" s="139">
        <f>'0325 4度C'!Y2</f>
        <v>0</v>
      </c>
      <c r="L6" s="124">
        <f>'0325 4度C'!Z2</f>
        <v>0</v>
      </c>
      <c r="M6" s="140">
        <f>'0325 4度C'!AC2</f>
        <v>53</v>
      </c>
      <c r="N6" s="124">
        <f>'0325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149.01487694503223</v>
      </c>
      <c r="F7" s="128">
        <f>AVERAGE(D32:O32,D14:J14)</f>
        <v>154.89557453009573</v>
      </c>
      <c r="G7" s="129">
        <f>AVERAGE(D14:J14)</f>
        <v>154.89557453009573</v>
      </c>
      <c r="H7" s="130"/>
      <c r="I7" s="129">
        <f>AVERAGE(K14:M14)</f>
        <v>135.29324924655086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0.95936250401918044</v>
      </c>
      <c r="F8" s="132">
        <f>AVERAGE(D15:J15,D33:O33)</f>
        <v>0.959761735822105</v>
      </c>
      <c r="G8" s="133">
        <f>AVERAGE(D15:J15)</f>
        <v>0.959761735822105</v>
      </c>
      <c r="H8" s="134"/>
      <c r="I8" s="133">
        <f>AVERAGE(K15:M15)</f>
        <v>0.95843096314568987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156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2153</v>
      </c>
      <c r="E10" s="110"/>
      <c r="F10" s="110"/>
      <c r="G10" s="110"/>
      <c r="H10" s="110"/>
      <c r="I10" s="110"/>
      <c r="J10" s="111"/>
      <c r="K10" s="112" t="s">
        <v>2154</v>
      </c>
      <c r="L10" s="113"/>
      <c r="M10" s="114"/>
      <c r="P10" s="53"/>
      <c r="Q10" s="53"/>
    </row>
    <row r="11" spans="2:17" ht="17.25" customHeight="1">
      <c r="B11" s="115" t="s">
        <v>2155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2156</v>
      </c>
      <c r="C13" s="60" t="s">
        <v>172</v>
      </c>
      <c r="D13" s="61">
        <f>SUMIFS('0325 4度C'!$K:$K,'0325 4度C'!$A:$A,"新豐6線",'0325 4度C'!$B:$B,"平均")</f>
        <v>111.11111111111111</v>
      </c>
      <c r="E13" s="62">
        <f>SUMIFS('0325 4度C'!$K:$K,'0325 4度C'!$A:$A,"新豐2線",'0325 4度C'!$B:$B,"平均")</f>
        <v>84.905660377358487</v>
      </c>
      <c r="F13" s="63">
        <f>SUMIFS('0325 4度C'!$K:$K,'0325 4度C'!$A:$A,"新豐5線",'0325 4度C'!$B:$B,"平均")</f>
        <v>102.73972602739725</v>
      </c>
      <c r="G13" s="63">
        <f>SUMIFS('0325 4度C'!$K:$K,'0325 4度C'!$A:$A,"新豐7線",'0325 4度C'!$B:$B,"平均")</f>
        <v>126.37362637362638</v>
      </c>
      <c r="H13" s="63">
        <f>SUMIFS('0325 4度C'!$K:$K,'0325 4度C'!$A:$A,"新豐3線",'0325 4度C'!$B:$B,"平均")</f>
        <v>333.33333333333331</v>
      </c>
      <c r="I13" s="63">
        <f>SUMIFS('0325 4度C'!$K:$K,'0325 4度C'!$A:$A,"新豐1線",'0325 4度C'!$B:$B,"平均")</f>
        <v>102.27272727272728</v>
      </c>
      <c r="J13" s="64">
        <f>SUMIFS('0325 4度C'!$K:$K,'0325 4度C'!$A:$A,"新豐10線",'0325 4度C'!$B:$B,"平均")</f>
        <v>269.23076923076923</v>
      </c>
      <c r="K13" s="65">
        <f>SUMIFS('0325 4度C'!$K:$K,'0325 4度C'!$A:$A,"新豐8線",'0325 4度C'!$B:$B,"平均")</f>
        <v>130.90909090909091</v>
      </c>
      <c r="L13" s="66">
        <f>SUMIFS('0325 4度C'!$K:$K,'0325 4度C'!$A:$A,"新豐9線",'0325 4度C'!$B:$B,"平均")</f>
        <v>134.4</v>
      </c>
      <c r="M13" s="64">
        <f>SUMIFS('0325 4度C'!$K:$K,'0325 4度C'!$A:$A,"新豐4線",'0325 4度C'!$B:$B,"平均")</f>
        <v>158.24175824175825</v>
      </c>
    </row>
    <row r="14" spans="2:17" ht="39.6" customHeight="1">
      <c r="B14" s="120"/>
      <c r="C14" s="67" t="s">
        <v>2157</v>
      </c>
      <c r="D14" s="68">
        <f>SUMIFS('0325 4度C'!$N:$N,'0325 4度C'!$A:$A,"新豐6線",'0325 4度C'!$B:$B,"平均")</f>
        <v>107.69029524807837</v>
      </c>
      <c r="E14" s="69">
        <f>SUMIFS('0325 4度C'!$N:$N,'0325 4度C'!$A:$A,"新豐2線",'0325 4度C'!$B:$B,"平均")</f>
        <v>81.231633820688117</v>
      </c>
      <c r="F14" s="69">
        <f>SUMIFS('0325 4度C'!$N:$N,'0325 4度C'!$A:$A,"新豐5線",'0325 4度C'!$B:$B,"平均")</f>
        <v>98.288945509080406</v>
      </c>
      <c r="G14" s="69">
        <f>SUMIFS('0325 4度C'!$N:$N,'0325 4度C'!$A:$A,"新豐7線",'0325 4度C'!$B:$B,"平均")</f>
        <v>120.94715324432562</v>
      </c>
      <c r="H14" s="69">
        <f>SUMIFS('0325 4度C'!$N:$N,'0325 4度C'!$A:$A,"新豐3線",'0325 4度C'!$B:$B,"平均")</f>
        <v>320.24093864713177</v>
      </c>
      <c r="I14" s="69">
        <f>SUMIFS('0325 4度C'!$N:$N,'0325 4度C'!$A:$A,"新豐1線",'0325 4度C'!$B:$B,"平均")</f>
        <v>98.314028538600184</v>
      </c>
      <c r="J14" s="70">
        <f>SUMIFS('0325 4度C'!$N:$N,'0325 4度C'!$A:$A,"新豐10線",'0325 4度C'!$B:$B,"平均")</f>
        <v>257.55602670276579</v>
      </c>
      <c r="K14" s="71">
        <f>SUMIFS('0325 4度C'!$N:$N,'0325 4度C'!$A:$A,"新豐8線",'0325 4度C'!$B:$B,"平均")</f>
        <v>125.72648107879888</v>
      </c>
      <c r="L14" s="72">
        <f>SUMIFS('0325 4度C'!$N:$N,'0325 4度C'!$A:$A,"新豐9線",'0325 4度C'!$B:$B,"平均")</f>
        <v>128.87169877537792</v>
      </c>
      <c r="M14" s="70">
        <f>SUMIFS('0325 4度C'!$N:$N,'0325 4度C'!$A:$A,"新豐4線",'0325 4度C'!$B:$B,"平均")</f>
        <v>151.28156788547571</v>
      </c>
    </row>
    <row r="15" spans="2:17" ht="40.15" customHeight="1">
      <c r="B15" s="121"/>
      <c r="C15" s="73" t="s">
        <v>2158</v>
      </c>
      <c r="D15" s="74">
        <f t="shared" ref="D15:M15" si="0">D14/D13</f>
        <v>0.96921265723270533</v>
      </c>
      <c r="E15" s="75">
        <f t="shared" si="0"/>
        <v>0.95672813166588233</v>
      </c>
      <c r="F15" s="75">
        <f t="shared" si="0"/>
        <v>0.95667906962171601</v>
      </c>
      <c r="G15" s="75">
        <f t="shared" si="0"/>
        <v>0.95706008219422878</v>
      </c>
      <c r="H15" s="75">
        <f t="shared" si="0"/>
        <v>0.96072281594139541</v>
      </c>
      <c r="I15" s="75">
        <f t="shared" si="0"/>
        <v>0.96129272348853501</v>
      </c>
      <c r="J15" s="76">
        <f t="shared" si="0"/>
        <v>0.95663667061027291</v>
      </c>
      <c r="K15" s="74">
        <f t="shared" si="0"/>
        <v>0.96041061935193595</v>
      </c>
      <c r="L15" s="75">
        <f t="shared" si="0"/>
        <v>0.95886680636441901</v>
      </c>
      <c r="M15" s="76">
        <f t="shared" si="0"/>
        <v>0.95601546372071455</v>
      </c>
    </row>
    <row r="16" spans="2:17" ht="17.25" customHeight="1">
      <c r="B16" s="122" t="s">
        <v>2159</v>
      </c>
      <c r="C16" s="77" t="s">
        <v>176</v>
      </c>
      <c r="D16" s="78">
        <f>VLOOKUP("新豐6線",'0325 4度C'!$A:$T,19,0)</f>
        <v>0.70833333333333337</v>
      </c>
      <c r="E16" s="79">
        <f>VLOOKUP("新豐2線",'0325 4度C'!$A:$T,19,0)</f>
        <v>0.20833333333333334</v>
      </c>
      <c r="F16" s="79">
        <f>VLOOKUP("新豐5線",'0325 4度C'!$A:$T,19,0)</f>
        <v>0.20833333333333334</v>
      </c>
      <c r="G16" s="79">
        <f>VLOOKUP("新豐7線",'0325 4度C'!$A:$T,19,0)</f>
        <v>0.20833333333333334</v>
      </c>
      <c r="H16" s="79">
        <f>VLOOKUP("新豐3線",'0325 4度C'!$A:$T,19,0)</f>
        <v>8.3333333333333329E-2</v>
      </c>
      <c r="I16" s="79">
        <f>VLOOKUP("新豐1線",'0325 4度C'!$A:$T,19,0)</f>
        <v>0.20833333333333334</v>
      </c>
      <c r="J16" s="80">
        <f>VLOOKUP("新豐10線",'0325 4度C'!$A:$T,19,0)</f>
        <v>0.20833333333333334</v>
      </c>
      <c r="K16" s="81">
        <f>VLOOKUP("新豐8線",'0325 4度C'!$A:$T,19,0)</f>
        <v>8.3333333333333329E-2</v>
      </c>
      <c r="L16" s="82">
        <f>VLOOKUP("新豐9線",'0325 4度C'!$A:$T,19,0)</f>
        <v>8.3333333333333329E-2</v>
      </c>
      <c r="M16" s="83">
        <f>VLOOKUP("新豐4線",'0325 4度C'!$A:$T,19,0)</f>
        <v>8.3333333333333329E-2</v>
      </c>
    </row>
    <row r="17" spans="2:13" ht="17.25" customHeight="1">
      <c r="B17" s="123"/>
      <c r="C17" s="77" t="s">
        <v>2160</v>
      </c>
      <c r="D17" s="81">
        <f>LOOKUP(2,1/(('0325 4度C'!$A:$A="新豐6線")*('0325 4度C'!$T:$T&lt;&gt;"")),'0325 4度C'!$T:$T)</f>
        <v>0.82222222222222219</v>
      </c>
      <c r="E17" s="79">
        <f>LOOKUP(2,1/(('0325 4度C'!$A:$A="新豐2線")*('0325 4度C'!$T:$T&lt;&gt;"")),'0325 4度C'!$T:$T)</f>
        <v>0.5972222222222221</v>
      </c>
      <c r="F17" s="79">
        <f>LOOKUP(2,1/(('0325 4度C'!$A:$A="新豐5線")*('0325 4度C'!$T:$T&lt;&gt;"")),'0325 4度C'!$T:$T)</f>
        <v>0.82708333333333339</v>
      </c>
      <c r="G17" s="79">
        <f>LOOKUP(2,1/(('0325 4度C'!$A:$A="新豐7線")*('0325 4度C'!$T:$T&lt;&gt;"")),'0325 4度C'!$T:$T)</f>
        <v>0.84374999999999989</v>
      </c>
      <c r="H17" s="79">
        <f>LOOKUP(2,1/(('0325 4度C'!$A:$A="新豐3線")*('0325 4度C'!$T:$T&lt;&gt;"")),'0325 4度C'!$T:$T)</f>
        <v>0.43402777777777768</v>
      </c>
      <c r="I17" s="79">
        <f>LOOKUP(2,1/(('0325 4度C'!$A:$A="新豐1線")*('0325 4度C'!$T:$T&lt;&gt;"")),'0325 4度C'!$T:$T)</f>
        <v>0.84791666666666665</v>
      </c>
      <c r="J17" s="80">
        <f>LOOKUP(2,1/(('0325 4度C'!$A:$A="新豐10線")*('0325 4度C'!$T:$T&lt;&gt;"")),'0325 4度C'!$T:$T)</f>
        <v>0.43472222222222218</v>
      </c>
      <c r="K17" s="78">
        <f>LOOKUP(2,1/(('0325 4度C'!$A:$A="新豐8線")*('0325 4度C'!$T:$T&lt;&gt;"")),'0325 4度C'!$T:$T)</f>
        <v>0.58958333333333324</v>
      </c>
      <c r="L17" s="79">
        <f>LOOKUP(2,1/(('0325 4度C'!$A:$A="新豐9線")*('0325 4度C'!$T:$T&lt;&gt;"")),'0325 4度C'!$T:$T)</f>
        <v>0.61666666666666647</v>
      </c>
      <c r="M17" s="80">
        <f>LOOKUP(2,1/(('0325 4度C'!$A:$A="新豐4線")*('0325 4度C'!$T:$T&lt;&gt;"")),'0325 4度C'!$T:$T)</f>
        <v>0.57708333333333328</v>
      </c>
    </row>
    <row r="18" spans="2:13" ht="17.25" customHeight="1">
      <c r="B18" s="101" t="s">
        <v>2161</v>
      </c>
      <c r="C18" s="84" t="s">
        <v>2162</v>
      </c>
      <c r="D18" s="85">
        <f>SUMIFS('0325 4度C'!$Y:$Y,'0325 4度C'!$A:$A,"新豐6線",'0325 4度C'!$B:$B,"平均")</f>
        <v>0</v>
      </c>
      <c r="E18" s="86">
        <f>SUMIFS('0325 4度C'!$Y:$Y,'0325 4度C'!$A:$A,"新豐2線",'0325 4度C'!$B:$B,"平均")</f>
        <v>0</v>
      </c>
      <c r="F18" s="86">
        <f>SUMIFS('0325 4度C'!$Y:$Y,'0325 4度C'!$A:$A,"新豐5線",'0325 4度C'!$B:$B,"平均")</f>
        <v>0</v>
      </c>
      <c r="G18" s="86">
        <f>SUMIFS('0325 4度C'!$Y:$Y,'0325 4度C'!$A:$A,"新豐7線",'0325 4度C'!$B:$B,"平均")</f>
        <v>0</v>
      </c>
      <c r="H18" s="86">
        <f>SUMIFS('0325 4度C'!$Y:$Y,'0325 4度C'!$A:$A,"新豐3線",'0325 4度C'!$B:$B,"平均")</f>
        <v>0</v>
      </c>
      <c r="I18" s="86">
        <f>SUMIFS('0325 4度C'!$Y:$Y,'0325 4度C'!$A:$A,"新豐1線",'0325 4度C'!$B:$B,"平均")</f>
        <v>0</v>
      </c>
      <c r="J18" s="87">
        <f>SUMIFS('0325 4度C'!$Y:$Y,'0325 4度C'!$A:$A,"新豐10線",'0325 4度C'!$B:$B,"平均")</f>
        <v>0</v>
      </c>
      <c r="K18" s="88">
        <f>SUMIFS('0325 4度C'!$Y:$Y,'0325 4度C'!$A:$A,"新豐8線",'0325 4度C'!$B:$B,"平均")</f>
        <v>0</v>
      </c>
      <c r="L18" s="86">
        <f>SUMIFS('0325 4度C'!$Y:$Y,'0325 4度C'!$A:$A,"新豐9線",'0325 4度C'!$B:$B,"平均")</f>
        <v>0</v>
      </c>
      <c r="M18" s="87">
        <f>SUMIFS('0325 4度C'!$Y:$Y,'0325 4度C'!$A:$A,"新豐4線",'0325 4度C'!$B:$B,"平均")</f>
        <v>0</v>
      </c>
    </row>
    <row r="19" spans="2:13" ht="17.25" customHeight="1">
      <c r="B19" s="102"/>
      <c r="C19" s="84" t="s">
        <v>180</v>
      </c>
      <c r="D19" s="85">
        <f>SUMIFS('0325 4度C'!$Z:$Z,'0325 4度C'!$A:$A,"新豐6線",'0325 4度C'!$B:$B,"平均")</f>
        <v>0</v>
      </c>
      <c r="E19" s="86">
        <f>SUMIFS('0325 4度C'!$Z:$Z,'0325 4度C'!$A:$A,"新豐2線",'0325 4度C'!$B:$B,"平均")</f>
        <v>0</v>
      </c>
      <c r="F19" s="86">
        <f>SUMIFS('0325 4度C'!$Z:$Z,'0325 4度C'!$A:$A,"新豐5線",'0325 4度C'!$B:$B,"平均")</f>
        <v>0</v>
      </c>
      <c r="G19" s="86">
        <f>SUMIFS('0325 4度C'!$Z:$Z,'0325 4度C'!$A:$A,"新豐7線",'0325 4度C'!$B:$B,"平均")</f>
        <v>0</v>
      </c>
      <c r="H19" s="86">
        <f>SUMIFS('0325 4度C'!$Z:$Z,'0325 4度C'!$A:$A,"新豐3線",'0325 4度C'!$B:$B,"平均")</f>
        <v>0</v>
      </c>
      <c r="I19" s="86">
        <f>SUMIFS('0325 4度C'!$Z:$Z,'0325 4度C'!$A:$A,"新豐1線",'0325 4度C'!$B:$B,"平均")</f>
        <v>0</v>
      </c>
      <c r="J19" s="87">
        <f>SUMIFS('0325 4度C'!$Z:$Z,'0325 4度C'!$A:$A,"新豐10線",'0325 4度C'!$B:$B,"平均")</f>
        <v>0</v>
      </c>
      <c r="K19" s="88">
        <f>SUMIFS('0325 4度C'!$Z:$Z,'0325 4度C'!$A:$A,"新豐8線",'0325 4度C'!$B:$B,"平均")</f>
        <v>0</v>
      </c>
      <c r="L19" s="86">
        <f>SUMIFS('0325 4度C'!$Z:$Z,'0325 4度C'!$A:$A,"新豐9線",'0325 4度C'!$B:$B,"平均")</f>
        <v>0</v>
      </c>
      <c r="M19" s="87">
        <f>SUMIFS('0325 4度C'!$Z:$Z,'0325 4度C'!$A:$A,"新豐4線",'0325 4度C'!$B:$B,"平均")</f>
        <v>0</v>
      </c>
    </row>
    <row r="20" spans="2:13" ht="17.25" customHeight="1">
      <c r="B20" s="101" t="s">
        <v>2163</v>
      </c>
      <c r="C20" s="84" t="s">
        <v>179</v>
      </c>
      <c r="D20" s="85">
        <f>SUMIFS('0325 4度C'!$AC:$AC,'0325 4度C'!$A:$A,"新豐6線",'0325 4度C'!$B:$B,"平均")</f>
        <v>4</v>
      </c>
      <c r="E20" s="86">
        <f>SUMIFS('0325 4度C'!$AC:$AC,'0325 4度C'!$A:$A,"新豐2線",'0325 4度C'!$B:$B,"平均")</f>
        <v>3</v>
      </c>
      <c r="F20" s="86">
        <f>SUMIFS('0325 4度C'!$AC:$AC,'0325 4度C'!$A:$A,"新豐5線",'0325 4度C'!$B:$B,"平均")</f>
        <v>4</v>
      </c>
      <c r="G20" s="86">
        <f>SUMIFS('0325 4度C'!$AC:$AC,'0325 4度C'!$A:$A,"新豐7線",'0325 4度C'!$B:$B,"平均")</f>
        <v>6</v>
      </c>
      <c r="H20" s="86">
        <f>SUMIFS('0325 4度C'!$AC:$AC,'0325 4度C'!$A:$A,"新豐3線",'0325 4度C'!$B:$B,"平均")</f>
        <v>5</v>
      </c>
      <c r="I20" s="86">
        <f>SUMIFS('0325 4度C'!$AC:$AC,'0325 4度C'!$A:$A,"新豐1線",'0325 4度C'!$B:$B,"平均")</f>
        <v>7</v>
      </c>
      <c r="J20" s="87">
        <f>SUMIFS('0325 4度C'!$AC:$AC,'0325 4度C'!$A:$A,"新豐10線",'0325 4度C'!$B:$B,"平均")</f>
        <v>5</v>
      </c>
      <c r="K20" s="88">
        <f>SUMIFS('0325 4度C'!$AC:$AC,'0325 4度C'!$A:$A,"新豐8線",'0325 4度C'!$B:$B,"平均")</f>
        <v>6</v>
      </c>
      <c r="L20" s="86">
        <f>SUMIFS('0325 4度C'!$AC:$AC,'0325 4度C'!$A:$A,"新豐9線",'0325 4度C'!$B:$B,"平均")</f>
        <v>7</v>
      </c>
      <c r="M20" s="87">
        <f>SUMIFS('0325 4度C'!$AC:$AC,'0325 4度C'!$A:$A,"新豐4線",'0325 4度C'!$B:$B,"平均")</f>
        <v>6</v>
      </c>
    </row>
    <row r="21" spans="2:13" ht="17.25" customHeight="1">
      <c r="B21" s="102"/>
      <c r="C21" s="84" t="s">
        <v>2164</v>
      </c>
      <c r="D21" s="85">
        <f>SUMIFS('0325 4度C'!$AD:$AD,'0325 4度C'!$A:$A,"新豐6線",'0325 4度C'!$B:$B,"平均")</f>
        <v>0</v>
      </c>
      <c r="E21" s="86">
        <f>SUMIFS('0325 4度C'!$AD:$AD,'0325 4度C'!$A:$A,"新豐2線",'0325 4度C'!$B:$B,"平均")</f>
        <v>0</v>
      </c>
      <c r="F21" s="86">
        <f>SUMIFS('0325 4度C'!$AD:$AD,'0325 4度C'!$A:$A,"新豐5線",'0325 4度C'!$B:$B,"平均")</f>
        <v>0</v>
      </c>
      <c r="G21" s="86">
        <f>SUMIFS('0325 4度C'!$AD:$AD,'0325 4度C'!$A:$A,"新豐7線",'0325 4度C'!$B:$B,"平均")</f>
        <v>0</v>
      </c>
      <c r="H21" s="86">
        <f>SUMIFS('0325 4度C'!$AD:$AD,'0325 4度C'!$A:$A,"新豐3線",'0325 4度C'!$B:$B,"平均")</f>
        <v>0</v>
      </c>
      <c r="I21" s="86">
        <f>SUMIFS('0325 4度C'!$AD:$AD,'0325 4度C'!$A:$A,"新豐1線",'0325 4度C'!$B:$B,"平均")</f>
        <v>0</v>
      </c>
      <c r="J21" s="87">
        <f>SUMIFS('0325 4度C'!$AD:$AD,'0325 4度C'!$A:$A,"新豐10線",'0325 4度C'!$B:$B,"平均")</f>
        <v>0</v>
      </c>
      <c r="K21" s="88">
        <f>SUMIFS('0325 4度C'!$AD:$AD,'0325 4度C'!$A:$A,"新豐8線",'0325 4度C'!$B:$B,"平均")</f>
        <v>0</v>
      </c>
      <c r="L21" s="86">
        <f>SUMIFS('0325 4度C'!$AD:$AD,'0325 4度C'!$A:$A,"新豐9線",'0325 4度C'!$B:$B,"平均")</f>
        <v>0</v>
      </c>
      <c r="M21" s="87">
        <f>SUMIFS('0325 4度C'!$AD:$AD,'0325 4度C'!$A:$A,"新豐4線",'0325 4度C'!$B:$B,"平均")</f>
        <v>0</v>
      </c>
    </row>
    <row r="22" spans="2:13" ht="17.25" customHeight="1">
      <c r="B22" s="103" t="s">
        <v>2165</v>
      </c>
      <c r="C22" s="104"/>
      <c r="D22" s="89">
        <f>SUMIFS('0325 4度C'!$I:$I,'0325 4度C'!$A:$A,"新豐6線",'0325 4度C'!$B:$B,"平均")</f>
        <v>18</v>
      </c>
      <c r="E22" s="90">
        <f>SUMIFS('0325 4度C'!$I:$I,'0325 4度C'!$A:$A,"新豐2線",'0325 4度C'!$B:$B,"平均")</f>
        <v>17.666666666666668</v>
      </c>
      <c r="F22" s="90">
        <f>SUMIFS('0325 4度C'!$I:$I,'0325 4度C'!$A:$A,"新豐5線",'0325 4度C'!$B:$B,"平均")</f>
        <v>18.25</v>
      </c>
      <c r="G22" s="90">
        <f>SUMIFS('0325 4度C'!$I:$I,'0325 4度C'!$A:$A,"新豐7線",'0325 4度C'!$B:$B,"平均")</f>
        <v>15.166666666666666</v>
      </c>
      <c r="H22" s="90">
        <f>SUMIFS('0325 4度C'!$I:$I,'0325 4度C'!$A:$A,"新豐3線",'0325 4度C'!$B:$B,"平均")</f>
        <v>9</v>
      </c>
      <c r="I22" s="90">
        <f>SUMIFS('0325 4度C'!$I:$I,'0325 4度C'!$A:$A,"新豐1線",'0325 4度C'!$B:$B,"平均")</f>
        <v>18.857142857142858</v>
      </c>
      <c r="J22" s="91">
        <f>SUMIFS('0325 4度C'!$I:$I,'0325 4度C'!$A:$A,"新豐10線",'0325 4度C'!$B:$B,"平均")</f>
        <v>10.4</v>
      </c>
      <c r="K22" s="89">
        <f>SUMIFS('0325 4度C'!$I:$I,'0325 4度C'!$A:$A,"新豐8線",'0325 4度C'!$B:$B,"平均")</f>
        <v>18.333333333333332</v>
      </c>
      <c r="L22" s="90">
        <f>SUMIFS('0325 4度C'!$I:$I,'0325 4度C'!$A:$A,"新豐9線",'0325 4度C'!$B:$B,"平均")</f>
        <v>17.857142857142858</v>
      </c>
      <c r="M22" s="91">
        <f>SUMIFS('0325 4度C'!$I:$I,'0325 4度C'!$A:$A,"新豐4線",'0325 4度C'!$B:$B,"平均")</f>
        <v>15.166666666666666</v>
      </c>
    </row>
    <row r="23" spans="2:13" ht="17.25" customHeight="1">
      <c r="B23" s="103" t="s">
        <v>2166</v>
      </c>
      <c r="C23" s="104"/>
      <c r="D23" s="92" t="s">
        <v>185</v>
      </c>
      <c r="E23" s="93" t="s">
        <v>186</v>
      </c>
      <c r="F23" s="93" t="s">
        <v>2167</v>
      </c>
      <c r="G23" s="93" t="s">
        <v>187</v>
      </c>
      <c r="H23" s="93" t="s">
        <v>188</v>
      </c>
      <c r="I23" s="93" t="s">
        <v>185</v>
      </c>
      <c r="J23" s="94" t="s">
        <v>188</v>
      </c>
      <c r="K23" s="92" t="s">
        <v>2168</v>
      </c>
      <c r="L23" s="93" t="s">
        <v>189</v>
      </c>
      <c r="M23" s="94" t="s">
        <v>189</v>
      </c>
    </row>
    <row r="24" spans="2:13" ht="17.25" customHeight="1">
      <c r="B24" s="103" t="s">
        <v>190</v>
      </c>
      <c r="C24" s="104"/>
      <c r="D24" s="92"/>
      <c r="E24" s="93"/>
      <c r="F24" s="93" t="s">
        <v>191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192</v>
      </c>
      <c r="C25" s="106"/>
      <c r="D25" s="95"/>
      <c r="E25" s="96" t="s">
        <v>193</v>
      </c>
      <c r="F25" s="99" t="s">
        <v>2169</v>
      </c>
      <c r="G25" s="100"/>
      <c r="H25" s="96" t="s">
        <v>195</v>
      </c>
      <c r="I25" s="96" t="s">
        <v>196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1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68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SUM(F5:F67)</f>
        <v>154271</v>
      </c>
      <c r="E1" s="4" t="s">
        <v>247</v>
      </c>
      <c r="F1" s="1">
        <f>SUM(G5:G67)</f>
        <v>5108821.2300000004</v>
      </c>
      <c r="G1" s="1" t="s">
        <v>2170</v>
      </c>
      <c r="H1" s="5">
        <f>L9+L13+L46+L54+L18+L60+L32+L40+L25+L67</f>
        <v>158.69761904761904</v>
      </c>
      <c r="I1" s="212" t="s">
        <v>2171</v>
      </c>
      <c r="J1" s="212"/>
      <c r="K1" s="212"/>
      <c r="L1" s="212" t="s">
        <v>5</v>
      </c>
      <c r="M1" s="212"/>
      <c r="N1" s="212"/>
      <c r="O1" s="212" t="s">
        <v>2172</v>
      </c>
      <c r="P1" s="212"/>
      <c r="Q1" s="212"/>
      <c r="R1" s="212"/>
      <c r="S1" s="212" t="s">
        <v>2173</v>
      </c>
      <c r="T1" s="212"/>
      <c r="U1" s="212"/>
      <c r="V1" s="212"/>
      <c r="W1" s="212"/>
      <c r="X1" s="212"/>
      <c r="Y1" s="6" t="s">
        <v>2174</v>
      </c>
      <c r="Z1" s="7" t="s">
        <v>9</v>
      </c>
      <c r="AA1" s="213" t="s">
        <v>2175</v>
      </c>
      <c r="AB1" s="213"/>
      <c r="AC1" s="42" t="s">
        <v>8</v>
      </c>
      <c r="AD1" s="7" t="s">
        <v>11</v>
      </c>
      <c r="AE1" s="212" t="s">
        <v>2176</v>
      </c>
      <c r="AF1" s="214"/>
      <c r="AG1" s="214"/>
    </row>
    <row r="2" spans="1:33" ht="26.25" customHeight="1">
      <c r="A2" s="33">
        <v>46106</v>
      </c>
      <c r="B2" s="34" t="s">
        <v>466</v>
      </c>
      <c r="C2" s="2" t="s">
        <v>2177</v>
      </c>
      <c r="D2" s="9">
        <f>AVERAGE(N9,N13,N46,N54,N18,N60,N25,N32,N40,N67)</f>
        <v>149.01487694503228</v>
      </c>
      <c r="E2" s="10" t="s">
        <v>14</v>
      </c>
      <c r="F2" s="11">
        <f>F1/D1</f>
        <v>33.115888468992878</v>
      </c>
      <c r="G2" s="1" t="s">
        <v>2178</v>
      </c>
      <c r="H2" s="12">
        <f>COUNT(H5:H67)</f>
        <v>5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SUM(Y9+Y13+Y18+Y25+Y32+Y40+Y46+Y54+Y60+Y67)</f>
        <v>0</v>
      </c>
      <c r="Z2" s="13">
        <f>SUM(Z9+Z13+Z18+Z25+Z32+Z40+Z46+Z54+Z60+Z67)</f>
        <v>0</v>
      </c>
      <c r="AA2" s="213"/>
      <c r="AB2" s="213"/>
      <c r="AC2" s="13">
        <v>53</v>
      </c>
      <c r="AD2" s="13">
        <f>SUM(AD9+AD13+AD18+AD25+AD32+AD40+AD46+AD54+AD60+AD67)</f>
        <v>0</v>
      </c>
      <c r="AE2" s="214"/>
      <c r="AF2" s="214"/>
      <c r="AG2" s="214"/>
    </row>
    <row r="3" spans="1:33" ht="40.5" customHeight="1">
      <c r="A3" s="162" t="s">
        <v>2179</v>
      </c>
      <c r="B3" s="162" t="s">
        <v>261</v>
      </c>
      <c r="C3" s="162" t="s">
        <v>18</v>
      </c>
      <c r="D3" s="162"/>
      <c r="E3" s="210" t="s">
        <v>2180</v>
      </c>
      <c r="F3" s="162" t="s">
        <v>264</v>
      </c>
      <c r="G3" s="210" t="s">
        <v>265</v>
      </c>
      <c r="H3" s="204" t="s">
        <v>22</v>
      </c>
      <c r="I3" s="202" t="s">
        <v>267</v>
      </c>
      <c r="J3" s="199" t="s">
        <v>2181</v>
      </c>
      <c r="K3" s="209" t="s">
        <v>2177</v>
      </c>
      <c r="L3" s="202" t="s">
        <v>2182</v>
      </c>
      <c r="M3" s="199" t="s">
        <v>2181</v>
      </c>
      <c r="N3" s="209" t="s">
        <v>13</v>
      </c>
      <c r="O3" s="202" t="s">
        <v>267</v>
      </c>
      <c r="P3" s="209" t="s">
        <v>2177</v>
      </c>
      <c r="Q3" s="200" t="s">
        <v>25</v>
      </c>
      <c r="R3" s="178" t="s">
        <v>2183</v>
      </c>
      <c r="S3" s="162" t="s">
        <v>27</v>
      </c>
      <c r="T3" s="162"/>
      <c r="U3" s="204" t="s">
        <v>28</v>
      </c>
      <c r="V3" s="204" t="s">
        <v>2184</v>
      </c>
      <c r="W3" s="162" t="s">
        <v>2185</v>
      </c>
      <c r="X3" s="162"/>
      <c r="Y3" s="205" t="s">
        <v>2186</v>
      </c>
      <c r="Z3" s="166"/>
      <c r="AA3" s="206" t="s">
        <v>2187</v>
      </c>
      <c r="AB3" s="207"/>
      <c r="AC3" s="205" t="s">
        <v>2188</v>
      </c>
      <c r="AD3" s="166"/>
      <c r="AE3" s="199" t="s">
        <v>2189</v>
      </c>
      <c r="AF3" s="200" t="s">
        <v>2190</v>
      </c>
      <c r="AG3" s="178" t="s">
        <v>2191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2192</v>
      </c>
      <c r="X4" s="4" t="s">
        <v>2193</v>
      </c>
      <c r="Y4" s="14" t="s">
        <v>2194</v>
      </c>
      <c r="Z4" s="14" t="s">
        <v>2195</v>
      </c>
      <c r="AA4" s="208"/>
      <c r="AB4" s="207"/>
      <c r="AC4" s="14" t="s">
        <v>2196</v>
      </c>
      <c r="AD4" s="14" t="s">
        <v>2197</v>
      </c>
      <c r="AE4" s="199"/>
      <c r="AF4" s="200"/>
      <c r="AG4" s="178"/>
    </row>
    <row r="5" spans="1:33">
      <c r="A5" s="201" t="s">
        <v>2198</v>
      </c>
      <c r="B5" s="35" t="s">
        <v>78</v>
      </c>
      <c r="C5" s="203" t="s">
        <v>79</v>
      </c>
      <c r="D5" s="203"/>
      <c r="E5" s="35">
        <v>50.67</v>
      </c>
      <c r="F5" s="4">
        <v>1428</v>
      </c>
      <c r="G5" s="4">
        <f t="shared" ref="G5:G8" si="0">E5*F5</f>
        <v>72356.760000000009</v>
      </c>
      <c r="H5" s="21" t="s">
        <v>133</v>
      </c>
      <c r="I5" s="15">
        <v>17</v>
      </c>
      <c r="J5" s="17">
        <v>2000</v>
      </c>
      <c r="K5" s="16">
        <f t="shared" ref="K5:K67" si="1">J5/I5</f>
        <v>117.64705882352941</v>
      </c>
      <c r="L5" s="15">
        <v>17</v>
      </c>
      <c r="M5" s="17">
        <f t="shared" ref="M5:M8" si="2">F5/V5*60</f>
        <v>1904</v>
      </c>
      <c r="N5" s="16">
        <f t="shared" ref="N5:N67" si="3">M5/L5</f>
        <v>112</v>
      </c>
      <c r="O5" s="18">
        <f t="shared" ref="O5:O67" si="4">L5-I5</f>
        <v>0</v>
      </c>
      <c r="P5" s="19">
        <f t="shared" ref="P5:P67" si="5">N5-K5</f>
        <v>-5.6470588235294059</v>
      </c>
      <c r="Q5" s="20">
        <f t="shared" ref="Q5:Q67" si="6">N5/K5</f>
        <v>0.95200000000000007</v>
      </c>
      <c r="R5" s="170">
        <f>Q9</f>
        <v>0.96921265723270533</v>
      </c>
      <c r="S5" s="27">
        <v>0.70833333333333337</v>
      </c>
      <c r="T5" s="27">
        <v>0.73958333333333337</v>
      </c>
      <c r="U5" s="4"/>
      <c r="V5" s="21">
        <f t="shared" ref="V5:V8" si="7">(T5-S5)*24*60</f>
        <v>45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3" si="8">M5-J5</f>
        <v>-96</v>
      </c>
      <c r="AF5" s="20">
        <f t="shared" ref="AF5:AF67" si="9">M5/J5</f>
        <v>0.95199999999999996</v>
      </c>
      <c r="AG5" s="170">
        <f>AF9</f>
        <v>0.96921265723270533</v>
      </c>
    </row>
    <row r="6" spans="1:33">
      <c r="A6" s="202" t="s">
        <v>2199</v>
      </c>
      <c r="B6" s="35" t="s">
        <v>78</v>
      </c>
      <c r="C6" s="203" t="s">
        <v>80</v>
      </c>
      <c r="D6" s="203"/>
      <c r="E6" s="35">
        <v>54.09</v>
      </c>
      <c r="F6" s="4">
        <v>1166</v>
      </c>
      <c r="G6" s="4">
        <f t="shared" si="0"/>
        <v>63068.94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1943.3333333333319</v>
      </c>
      <c r="N6" s="16">
        <f t="shared" si="3"/>
        <v>102.28070175438589</v>
      </c>
      <c r="O6" s="18">
        <f t="shared" si="4"/>
        <v>0</v>
      </c>
      <c r="P6" s="19">
        <f t="shared" si="5"/>
        <v>-2.9824561403509477</v>
      </c>
      <c r="Q6" s="20">
        <f t="shared" si="6"/>
        <v>0.97166666666666601</v>
      </c>
      <c r="R6" s="170"/>
      <c r="S6" s="27">
        <v>0.74444444444444446</v>
      </c>
      <c r="T6" s="27">
        <v>0.76944444444444449</v>
      </c>
      <c r="U6" s="4">
        <f t="shared" ref="U6:U8" si="10">IF(S6=TIME(17,0,0),"",(S6-T5)*24*60)</f>
        <v>6.9999999999999751</v>
      </c>
      <c r="V6" s="21">
        <f t="shared" si="7"/>
        <v>36.000000000000028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-56.666666666668107</v>
      </c>
      <c r="AF6" s="20">
        <f t="shared" si="9"/>
        <v>0.9716666666666659</v>
      </c>
      <c r="AG6" s="170"/>
    </row>
    <row r="7" spans="1:33">
      <c r="A7" s="202" t="s">
        <v>2199</v>
      </c>
      <c r="B7" s="35" t="s">
        <v>78</v>
      </c>
      <c r="C7" s="197" t="s">
        <v>82</v>
      </c>
      <c r="D7" s="198"/>
      <c r="E7" s="35">
        <v>50.67</v>
      </c>
      <c r="F7" s="4">
        <v>265</v>
      </c>
      <c r="G7" s="4">
        <f t="shared" si="0"/>
        <v>13427.550000000001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1987.5000000000073</v>
      </c>
      <c r="N7" s="16">
        <f t="shared" si="3"/>
        <v>94.642857142857494</v>
      </c>
      <c r="O7" s="18">
        <f t="shared" si="4"/>
        <v>0</v>
      </c>
      <c r="P7" s="19">
        <f t="shared" si="5"/>
        <v>-0.59523809523774673</v>
      </c>
      <c r="Q7" s="20">
        <f t="shared" si="6"/>
        <v>0.99375000000000369</v>
      </c>
      <c r="R7" s="170"/>
      <c r="S7" s="27">
        <v>0.77430555555555558</v>
      </c>
      <c r="T7" s="27">
        <v>0.77986111111111112</v>
      </c>
      <c r="U7" s="4">
        <f t="shared" si="10"/>
        <v>6.9999999999999751</v>
      </c>
      <c r="V7" s="21">
        <f t="shared" si="7"/>
        <v>7.9999999999999716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-12.499999999992724</v>
      </c>
      <c r="AF7" s="20">
        <f t="shared" si="9"/>
        <v>0.99375000000000369</v>
      </c>
      <c r="AG7" s="170"/>
    </row>
    <row r="8" spans="1:33">
      <c r="A8" s="202" t="s">
        <v>2199</v>
      </c>
      <c r="B8" s="35" t="s">
        <v>78</v>
      </c>
      <c r="C8" s="197" t="s">
        <v>91</v>
      </c>
      <c r="D8" s="198"/>
      <c r="E8" s="35">
        <v>50.67</v>
      </c>
      <c r="F8" s="4">
        <v>1695</v>
      </c>
      <c r="G8" s="4">
        <f t="shared" si="0"/>
        <v>85885.650000000009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1918.8679245283031</v>
      </c>
      <c r="N8" s="16">
        <f t="shared" si="3"/>
        <v>127.92452830188687</v>
      </c>
      <c r="O8" s="18">
        <f t="shared" si="4"/>
        <v>0</v>
      </c>
      <c r="P8" s="19">
        <f t="shared" si="5"/>
        <v>-5.4088050314464766</v>
      </c>
      <c r="Q8" s="20">
        <f t="shared" si="6"/>
        <v>0.95943396226415145</v>
      </c>
      <c r="R8" s="170"/>
      <c r="S8" s="27">
        <v>0.78541666666666665</v>
      </c>
      <c r="T8" s="27">
        <v>0.82222222222222219</v>
      </c>
      <c r="U8" s="4">
        <f t="shared" si="10"/>
        <v>7.9999999999999716</v>
      </c>
      <c r="V8" s="21">
        <f t="shared" si="7"/>
        <v>52.999999999999972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-81.132075471696908</v>
      </c>
      <c r="AF8" s="20">
        <f t="shared" si="9"/>
        <v>0.95943396226415156</v>
      </c>
      <c r="AG8" s="170"/>
    </row>
    <row r="9" spans="1:33">
      <c r="A9" s="202" t="s">
        <v>2199</v>
      </c>
      <c r="B9" s="35" t="s">
        <v>2200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1938.4253144654106</v>
      </c>
      <c r="N9" s="16">
        <f t="shared" si="3"/>
        <v>107.69029524807837</v>
      </c>
      <c r="O9" s="18">
        <f t="shared" si="4"/>
        <v>0</v>
      </c>
      <c r="P9" s="19">
        <f t="shared" si="5"/>
        <v>-3.4208158630327432</v>
      </c>
      <c r="Q9" s="20">
        <f t="shared" si="6"/>
        <v>0.96921265723270533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-61.574685534589435</v>
      </c>
      <c r="AF9" s="20">
        <f t="shared" si="9"/>
        <v>0.96921265723270533</v>
      </c>
      <c r="AG9" s="170"/>
    </row>
    <row r="10" spans="1:33" ht="15.75" customHeight="1">
      <c r="A10" s="196" t="s">
        <v>2201</v>
      </c>
      <c r="B10" s="35" t="s">
        <v>84</v>
      </c>
      <c r="C10" s="197" t="s">
        <v>85</v>
      </c>
      <c r="D10" s="198"/>
      <c r="E10" s="35">
        <v>39.619999999999997</v>
      </c>
      <c r="F10" s="4">
        <v>4544</v>
      </c>
      <c r="G10" s="4">
        <f t="shared" ref="G10:G12" si="11">E10*F10</f>
        <v>180033.28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1434.9473684210525</v>
      </c>
      <c r="N10" s="16">
        <f t="shared" si="3"/>
        <v>75.523545706371181</v>
      </c>
      <c r="O10" s="18">
        <f t="shared" si="4"/>
        <v>0</v>
      </c>
      <c r="P10" s="19">
        <f t="shared" si="5"/>
        <v>-3.4238227146814495</v>
      </c>
      <c r="Q10" s="20">
        <f t="shared" si="6"/>
        <v>0.95663157894736828</v>
      </c>
      <c r="R10" s="170">
        <f>Q13</f>
        <v>0.95672813166588233</v>
      </c>
      <c r="S10" s="27">
        <v>0.20833333333333334</v>
      </c>
      <c r="T10" s="27">
        <v>0.34027777777777779</v>
      </c>
      <c r="U10" s="4"/>
      <c r="V10" s="21">
        <f t="shared" ref="V10:V12" si="13">(T10-S10)*24*60</f>
        <v>190.00000000000003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-65.052631578947512</v>
      </c>
      <c r="AF10" s="20">
        <f t="shared" si="9"/>
        <v>0.95663157894736828</v>
      </c>
      <c r="AG10" s="170">
        <f>AF13</f>
        <v>0.95672813166588233</v>
      </c>
    </row>
    <row r="11" spans="1:33" ht="15.75" customHeight="1">
      <c r="A11" s="196" t="s">
        <v>2201</v>
      </c>
      <c r="B11" s="35" t="s">
        <v>84</v>
      </c>
      <c r="C11" s="197" t="s">
        <v>86</v>
      </c>
      <c r="D11" s="198"/>
      <c r="E11" s="35">
        <v>39.799999999999997</v>
      </c>
      <c r="F11" s="4">
        <v>4700</v>
      </c>
      <c r="G11" s="4">
        <f t="shared" si="11"/>
        <v>187060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1431.4720812182745</v>
      </c>
      <c r="N11" s="16">
        <f t="shared" si="3"/>
        <v>84.204240071663207</v>
      </c>
      <c r="O11" s="18">
        <f t="shared" si="4"/>
        <v>0</v>
      </c>
      <c r="P11" s="19">
        <f t="shared" si="5"/>
        <v>-4.0310540459838506</v>
      </c>
      <c r="Q11" s="20">
        <f t="shared" si="6"/>
        <v>0.95431472081218305</v>
      </c>
      <c r="R11" s="170"/>
      <c r="S11" s="27">
        <v>0.34583333333333333</v>
      </c>
      <c r="T11" s="27">
        <v>0.48263888888888884</v>
      </c>
      <c r="U11" s="4">
        <f t="shared" ref="U11:U12" si="14">IF(S11=TIME(17,0,0),"",(S11-T10)*24*60)</f>
        <v>7.9999999999999716</v>
      </c>
      <c r="V11" s="21">
        <f t="shared" si="13"/>
        <v>196.99999999999994</v>
      </c>
      <c r="W11" s="22">
        <f>T11</f>
        <v>0.48263888888888884</v>
      </c>
      <c r="X11" s="22">
        <f>S12</f>
        <v>0.52430555555555547</v>
      </c>
      <c r="Y11" s="22"/>
      <c r="Z11" s="22"/>
      <c r="AA11" s="162"/>
      <c r="AB11" s="162"/>
      <c r="AC11" s="24"/>
      <c r="AD11" s="24"/>
      <c r="AE11" s="18">
        <f t="shared" si="8"/>
        <v>-68.527918781725475</v>
      </c>
      <c r="AF11" s="20">
        <f t="shared" si="9"/>
        <v>0.95431472081218305</v>
      </c>
      <c r="AG11" s="170"/>
    </row>
    <row r="12" spans="1:33" ht="15.75" customHeight="1">
      <c r="A12" s="196" t="s">
        <v>2201</v>
      </c>
      <c r="B12" s="35" t="s">
        <v>84</v>
      </c>
      <c r="C12" s="197" t="s">
        <v>86</v>
      </c>
      <c r="D12" s="198"/>
      <c r="E12" s="35">
        <v>39.799999999999997</v>
      </c>
      <c r="F12" s="4">
        <v>2518</v>
      </c>
      <c r="G12" s="4">
        <f t="shared" si="11"/>
        <v>100216.4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1438.8571428571438</v>
      </c>
      <c r="N12" s="16">
        <f t="shared" si="3"/>
        <v>84.638655462184929</v>
      </c>
      <c r="O12" s="18">
        <f t="shared" si="4"/>
        <v>0</v>
      </c>
      <c r="P12" s="19">
        <f t="shared" si="5"/>
        <v>-3.5966386554621295</v>
      </c>
      <c r="Q12" s="20">
        <f t="shared" si="6"/>
        <v>0.95923809523809589</v>
      </c>
      <c r="R12" s="170"/>
      <c r="S12" s="27">
        <v>0.52430555555555547</v>
      </c>
      <c r="T12" s="27">
        <v>0.5972222222222221</v>
      </c>
      <c r="U12" s="4">
        <f t="shared" si="14"/>
        <v>59.999999999999943</v>
      </c>
      <c r="V12" s="21">
        <f t="shared" si="13"/>
        <v>104.99999999999994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-61.142857142856201</v>
      </c>
      <c r="AF12" s="20">
        <f t="shared" si="9"/>
        <v>0.95923809523809589</v>
      </c>
      <c r="AG12" s="170"/>
    </row>
    <row r="13" spans="1:33" ht="16.5" customHeight="1">
      <c r="A13" s="196" t="s">
        <v>2201</v>
      </c>
      <c r="B13" s="35" t="s">
        <v>2200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1435.0921974988235</v>
      </c>
      <c r="N13" s="16">
        <f t="shared" si="3"/>
        <v>81.231633820688117</v>
      </c>
      <c r="O13" s="18">
        <f t="shared" si="4"/>
        <v>0</v>
      </c>
      <c r="P13" s="19">
        <f t="shared" si="5"/>
        <v>-3.6740265566703698</v>
      </c>
      <c r="Q13" s="20">
        <f t="shared" si="6"/>
        <v>0.95672813166588233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v>3</v>
      </c>
      <c r="AD13" s="30">
        <f>SUM(AD10:AD12)</f>
        <v>0</v>
      </c>
      <c r="AE13" s="18">
        <f t="shared" si="8"/>
        <v>-64.907802501176548</v>
      </c>
      <c r="AF13" s="20">
        <f t="shared" si="9"/>
        <v>0.95672813166588233</v>
      </c>
      <c r="AG13" s="170"/>
    </row>
    <row r="14" spans="1:33" ht="16.5" customHeight="1">
      <c r="A14" s="194" t="s">
        <v>2202</v>
      </c>
      <c r="B14" s="4" t="s">
        <v>87</v>
      </c>
      <c r="C14" s="190" t="s">
        <v>88</v>
      </c>
      <c r="D14" s="190"/>
      <c r="E14" s="35">
        <v>41</v>
      </c>
      <c r="F14" s="4">
        <v>2454</v>
      </c>
      <c r="G14" s="4">
        <f t="shared" ref="G14:G17" si="15">E14*F14</f>
        <v>100614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1429.5145631067962</v>
      </c>
      <c r="N14" s="16">
        <f t="shared" si="3"/>
        <v>54.98132935026139</v>
      </c>
      <c r="O14" s="18">
        <f t="shared" si="4"/>
        <v>0</v>
      </c>
      <c r="P14" s="19">
        <f t="shared" si="5"/>
        <v>-2.7109783420463032</v>
      </c>
      <c r="Q14" s="20">
        <f t="shared" si="6"/>
        <v>0.95300970873786406</v>
      </c>
      <c r="R14" s="170">
        <f>Q18</f>
        <v>0.95667906962171601</v>
      </c>
      <c r="S14" s="27">
        <v>0.20833333333333334</v>
      </c>
      <c r="T14" s="27">
        <v>0.27986111111111112</v>
      </c>
      <c r="U14" s="4"/>
      <c r="V14" s="21">
        <f t="shared" ref="V14:V17" si="17">(T14-S14)*24*60</f>
        <v>103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-70.485436893203769</v>
      </c>
      <c r="AF14" s="20">
        <f t="shared" si="9"/>
        <v>0.95300970873786417</v>
      </c>
      <c r="AG14" s="170">
        <f>AF18</f>
        <v>0.95667906962171589</v>
      </c>
    </row>
    <row r="15" spans="1:33" ht="16.5" customHeight="1">
      <c r="A15" s="195" t="s">
        <v>2202</v>
      </c>
      <c r="B15" s="4" t="s">
        <v>78</v>
      </c>
      <c r="C15" s="190" t="s">
        <v>89</v>
      </c>
      <c r="D15" s="190"/>
      <c r="E15" s="35">
        <v>50.98</v>
      </c>
      <c r="F15" s="4">
        <v>2358</v>
      </c>
      <c r="G15" s="4">
        <f t="shared" si="15"/>
        <v>120210.84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1911.8918918918905</v>
      </c>
      <c r="N15" s="16">
        <f t="shared" si="3"/>
        <v>119.49324324324316</v>
      </c>
      <c r="O15" s="18">
        <f t="shared" si="4"/>
        <v>0</v>
      </c>
      <c r="P15" s="19">
        <f t="shared" si="5"/>
        <v>-5.5067567567568432</v>
      </c>
      <c r="Q15" s="20">
        <f t="shared" si="6"/>
        <v>0.95594594594594529</v>
      </c>
      <c r="R15" s="170"/>
      <c r="S15" s="27">
        <v>0.70833333333333337</v>
      </c>
      <c r="T15" s="27">
        <v>0.7597222222222223</v>
      </c>
      <c r="U15" s="4" t="str">
        <f t="shared" ref="U15:U17" si="18">IF(S15=TIME(17,0,0),"",(S15-T14)*24*60)</f>
        <v/>
      </c>
      <c r="V15" s="21">
        <f t="shared" si="17"/>
        <v>74.000000000000057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-88.108108108109491</v>
      </c>
      <c r="AF15" s="20">
        <f t="shared" si="9"/>
        <v>0.95594594594594529</v>
      </c>
      <c r="AG15" s="170"/>
    </row>
    <row r="16" spans="1:33" ht="16.5" customHeight="1">
      <c r="A16" s="195" t="s">
        <v>2202</v>
      </c>
      <c r="B16" s="4" t="s">
        <v>78</v>
      </c>
      <c r="C16" s="190" t="s">
        <v>83</v>
      </c>
      <c r="D16" s="190"/>
      <c r="E16" s="35">
        <v>50.67</v>
      </c>
      <c r="F16" s="4">
        <v>637</v>
      </c>
      <c r="G16" s="4">
        <f t="shared" si="15"/>
        <v>32276.79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1911.0000000000066</v>
      </c>
      <c r="N16" s="16">
        <f t="shared" si="3"/>
        <v>119.43750000000041</v>
      </c>
      <c r="O16" s="18">
        <f t="shared" si="4"/>
        <v>0</v>
      </c>
      <c r="P16" s="19">
        <f t="shared" si="5"/>
        <v>-5.5624999999995879</v>
      </c>
      <c r="Q16" s="20">
        <f t="shared" si="6"/>
        <v>0.95550000000000335</v>
      </c>
      <c r="R16" s="170"/>
      <c r="S16" s="27">
        <v>0.76319444444444451</v>
      </c>
      <c r="T16" s="27">
        <v>0.77708333333333335</v>
      </c>
      <c r="U16" s="4">
        <f t="shared" si="18"/>
        <v>4.9999999999999822</v>
      </c>
      <c r="V16" s="21">
        <f t="shared" si="17"/>
        <v>19.999999999999929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-88.999999999993406</v>
      </c>
      <c r="AF16" s="20">
        <f t="shared" si="9"/>
        <v>0.95550000000000335</v>
      </c>
      <c r="AG16" s="170"/>
    </row>
    <row r="17" spans="1:33" ht="16.5" customHeight="1">
      <c r="A17" s="195" t="s">
        <v>2202</v>
      </c>
      <c r="B17" s="4" t="s">
        <v>78</v>
      </c>
      <c r="C17" s="190" t="s">
        <v>90</v>
      </c>
      <c r="D17" s="190"/>
      <c r="E17" s="35">
        <v>50.92</v>
      </c>
      <c r="F17" s="4">
        <v>2147</v>
      </c>
      <c r="G17" s="4">
        <f t="shared" si="15"/>
        <v>109325.24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1922.6865671641767</v>
      </c>
      <c r="N17" s="16">
        <f t="shared" si="3"/>
        <v>128.17910447761179</v>
      </c>
      <c r="O17" s="18">
        <f t="shared" si="4"/>
        <v>0</v>
      </c>
      <c r="P17" s="19">
        <f t="shared" si="5"/>
        <v>-5.1542288557215556</v>
      </c>
      <c r="Q17" s="20">
        <f t="shared" si="6"/>
        <v>0.96134328358208831</v>
      </c>
      <c r="R17" s="170"/>
      <c r="S17" s="27">
        <v>0.78055555555555556</v>
      </c>
      <c r="T17" s="27">
        <v>0.82708333333333339</v>
      </c>
      <c r="U17" s="4">
        <f t="shared" si="18"/>
        <v>4.9999999999999822</v>
      </c>
      <c r="V17" s="21">
        <f t="shared" si="17"/>
        <v>67.000000000000085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-77.313432835823278</v>
      </c>
      <c r="AF17" s="20">
        <f t="shared" si="9"/>
        <v>0.96134328358208831</v>
      </c>
      <c r="AG17" s="170"/>
    </row>
    <row r="18" spans="1:33" ht="16.5" customHeight="1">
      <c r="A18" s="195" t="s">
        <v>2202</v>
      </c>
      <c r="B18" s="35" t="s">
        <v>2200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1793.7732555407174</v>
      </c>
      <c r="N18" s="16">
        <f t="shared" si="3"/>
        <v>98.288945509080406</v>
      </c>
      <c r="O18" s="18">
        <f t="shared" si="4"/>
        <v>0</v>
      </c>
      <c r="P18" s="19">
        <f t="shared" si="5"/>
        <v>-4.4507805183168472</v>
      </c>
      <c r="Q18" s="20">
        <f t="shared" si="6"/>
        <v>0.95667906962171601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-81.2267444592826</v>
      </c>
      <c r="AF18" s="20">
        <f t="shared" si="9"/>
        <v>0.95667906962171589</v>
      </c>
      <c r="AG18" s="170"/>
    </row>
    <row r="19" spans="1:33" ht="15.75" customHeight="1">
      <c r="A19" s="192" t="s">
        <v>2203</v>
      </c>
      <c r="B19" s="35" t="s">
        <v>78</v>
      </c>
      <c r="C19" s="190" t="s">
        <v>92</v>
      </c>
      <c r="D19" s="190"/>
      <c r="E19" s="35">
        <v>57.73</v>
      </c>
      <c r="F19" s="4">
        <v>2305</v>
      </c>
      <c r="G19" s="4">
        <f t="shared" ref="G19:G24" si="19">E19*F19</f>
        <v>133067.65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4" si="20">F19/V19*60</f>
        <v>1920.8333333333328</v>
      </c>
      <c r="N19" s="16">
        <f t="shared" si="3"/>
        <v>137.20238095238091</v>
      </c>
      <c r="O19" s="18">
        <f t="shared" si="4"/>
        <v>0</v>
      </c>
      <c r="P19" s="19">
        <f t="shared" si="5"/>
        <v>-5.6547619047619548</v>
      </c>
      <c r="Q19" s="20">
        <f t="shared" si="6"/>
        <v>0.96041666666666636</v>
      </c>
      <c r="R19" s="170">
        <f>Q25</f>
        <v>0.95706008219422878</v>
      </c>
      <c r="S19" s="27">
        <v>0.20833333333333334</v>
      </c>
      <c r="T19" s="27">
        <v>0.25833333333333336</v>
      </c>
      <c r="U19" s="4"/>
      <c r="V19" s="21">
        <f t="shared" ref="V19:V24" si="21">(T19-S19)*24*60</f>
        <v>72.000000000000028</v>
      </c>
      <c r="W19" s="27"/>
      <c r="X19" s="27"/>
      <c r="Y19" s="27"/>
      <c r="Z19" s="27"/>
      <c r="AA19" s="162"/>
      <c r="AB19" s="162"/>
      <c r="AC19" s="24">
        <v>6</v>
      </c>
      <c r="AD19" s="24"/>
      <c r="AE19" s="18">
        <f t="shared" si="8"/>
        <v>-79.166666666667197</v>
      </c>
      <c r="AF19" s="20">
        <f t="shared" si="9"/>
        <v>0.96041666666666636</v>
      </c>
      <c r="AG19" s="170">
        <f>AF25</f>
        <v>0.95706008219422878</v>
      </c>
    </row>
    <row r="20" spans="1:33" ht="15.75" customHeight="1">
      <c r="A20" s="193" t="s">
        <v>2203</v>
      </c>
      <c r="B20" s="35" t="s">
        <v>78</v>
      </c>
      <c r="C20" s="190" t="s">
        <v>93</v>
      </c>
      <c r="D20" s="190"/>
      <c r="E20" s="35">
        <v>53.68</v>
      </c>
      <c r="F20" s="4">
        <v>1302</v>
      </c>
      <c r="G20" s="4">
        <f t="shared" si="19"/>
        <v>69891.360000000001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1905.3658536585358</v>
      </c>
      <c r="N20" s="16">
        <f t="shared" si="3"/>
        <v>119.08536585365849</v>
      </c>
      <c r="O20" s="18">
        <f t="shared" si="4"/>
        <v>0</v>
      </c>
      <c r="P20" s="19">
        <f t="shared" si="5"/>
        <v>-5.9146341463415126</v>
      </c>
      <c r="Q20" s="20">
        <f t="shared" si="6"/>
        <v>0.95268292682926792</v>
      </c>
      <c r="R20" s="170"/>
      <c r="S20" s="27">
        <v>0.2638888888888889</v>
      </c>
      <c r="T20" s="27">
        <v>0.29236111111111113</v>
      </c>
      <c r="U20" s="4">
        <f t="shared" ref="U20:U24" si="22">IF(S20=TIME(17,0,0),"",(S20-T19)*24*60)</f>
        <v>7.9999999999999716</v>
      </c>
      <c r="V20" s="21">
        <f t="shared" si="21"/>
        <v>41.000000000000014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-94.634146341464202</v>
      </c>
      <c r="AF20" s="20">
        <f t="shared" si="9"/>
        <v>0.95268292682926792</v>
      </c>
      <c r="AG20" s="170"/>
    </row>
    <row r="21" spans="1:33" ht="15.75" customHeight="1">
      <c r="A21" s="193" t="s">
        <v>2203</v>
      </c>
      <c r="B21" s="35" t="s">
        <v>78</v>
      </c>
      <c r="C21" s="190" t="s">
        <v>2127</v>
      </c>
      <c r="D21" s="190"/>
      <c r="E21" s="35">
        <v>48.36</v>
      </c>
      <c r="F21" s="4">
        <v>3307</v>
      </c>
      <c r="G21" s="4">
        <f t="shared" si="19"/>
        <v>159926.51999999999</v>
      </c>
      <c r="H21" s="21" t="s">
        <v>133</v>
      </c>
      <c r="I21" s="15">
        <v>17</v>
      </c>
      <c r="J21" s="17">
        <v>2000</v>
      </c>
      <c r="K21" s="16">
        <f t="shared" si="1"/>
        <v>117.64705882352941</v>
      </c>
      <c r="L21" s="15">
        <v>17</v>
      </c>
      <c r="M21" s="17">
        <f t="shared" si="20"/>
        <v>1907.8846153846148</v>
      </c>
      <c r="N21" s="16">
        <f t="shared" si="3"/>
        <v>112.22850678733028</v>
      </c>
      <c r="O21" s="18">
        <f t="shared" si="4"/>
        <v>0</v>
      </c>
      <c r="P21" s="19">
        <f t="shared" si="5"/>
        <v>-5.4185520361991308</v>
      </c>
      <c r="Q21" s="20">
        <f t="shared" si="6"/>
        <v>0.95394230769230737</v>
      </c>
      <c r="R21" s="170"/>
      <c r="S21" s="27">
        <v>0.29722222222222222</v>
      </c>
      <c r="T21" s="27">
        <v>0.36944444444444446</v>
      </c>
      <c r="U21" s="4">
        <f t="shared" si="22"/>
        <v>6.9999999999999751</v>
      </c>
      <c r="V21" s="21">
        <f t="shared" si="21"/>
        <v>104.00000000000003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-92.11538461538521</v>
      </c>
      <c r="AF21" s="20">
        <f t="shared" si="9"/>
        <v>0.95394230769230737</v>
      </c>
      <c r="AG21" s="170"/>
    </row>
    <row r="22" spans="1:33" ht="15.75" customHeight="1">
      <c r="A22" s="193" t="s">
        <v>2203</v>
      </c>
      <c r="B22" s="35" t="s">
        <v>78</v>
      </c>
      <c r="C22" s="190" t="s">
        <v>94</v>
      </c>
      <c r="D22" s="190"/>
      <c r="E22" s="35">
        <v>50.49</v>
      </c>
      <c r="F22" s="4">
        <v>1918</v>
      </c>
      <c r="G22" s="4">
        <f t="shared" si="19"/>
        <v>96839.82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1918.0000000000018</v>
      </c>
      <c r="N22" s="16">
        <f t="shared" si="3"/>
        <v>127.86666666666679</v>
      </c>
      <c r="O22" s="18">
        <f t="shared" si="4"/>
        <v>0</v>
      </c>
      <c r="P22" s="19">
        <f t="shared" si="5"/>
        <v>-5.4666666666665549</v>
      </c>
      <c r="Q22" s="20">
        <f t="shared" si="6"/>
        <v>0.95900000000000085</v>
      </c>
      <c r="R22" s="170"/>
      <c r="S22" s="27">
        <v>0.70833333333333337</v>
      </c>
      <c r="T22" s="27">
        <v>0.75</v>
      </c>
      <c r="U22" s="4" t="str">
        <f t="shared" si="22"/>
        <v/>
      </c>
      <c r="V22" s="21">
        <f t="shared" si="21"/>
        <v>59.999999999999943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-81.999999999998181</v>
      </c>
      <c r="AF22" s="20">
        <f t="shared" si="9"/>
        <v>0.95900000000000096</v>
      </c>
      <c r="AG22" s="170"/>
    </row>
    <row r="23" spans="1:33" ht="15.75" customHeight="1">
      <c r="A23" s="193" t="s">
        <v>2203</v>
      </c>
      <c r="B23" s="35" t="s">
        <v>78</v>
      </c>
      <c r="C23" s="190" t="s">
        <v>96</v>
      </c>
      <c r="D23" s="190"/>
      <c r="E23" s="35">
        <v>57.3</v>
      </c>
      <c r="F23" s="4">
        <v>1783</v>
      </c>
      <c r="G23" s="4">
        <f t="shared" si="19"/>
        <v>102165.9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1910.3571428571445</v>
      </c>
      <c r="N23" s="16">
        <f t="shared" si="3"/>
        <v>146.95054945054957</v>
      </c>
      <c r="O23" s="18">
        <f t="shared" si="4"/>
        <v>0</v>
      </c>
      <c r="P23" s="19">
        <f t="shared" si="5"/>
        <v>-6.8956043956042663</v>
      </c>
      <c r="Q23" s="20">
        <f t="shared" si="6"/>
        <v>0.95517857142857232</v>
      </c>
      <c r="R23" s="170"/>
      <c r="S23" s="27">
        <v>0.75555555555555554</v>
      </c>
      <c r="T23" s="27">
        <v>0.7944444444444444</v>
      </c>
      <c r="U23" s="4">
        <f t="shared" si="22"/>
        <v>7.9999999999999716</v>
      </c>
      <c r="V23" s="21">
        <f t="shared" si="21"/>
        <v>55.999999999999957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-89.642857142855519</v>
      </c>
      <c r="AF23" s="20">
        <f t="shared" si="9"/>
        <v>0.95517857142857221</v>
      </c>
      <c r="AG23" s="170"/>
    </row>
    <row r="24" spans="1:33" ht="15.75" customHeight="1">
      <c r="A24" s="193" t="s">
        <v>2203</v>
      </c>
      <c r="B24" s="35" t="s">
        <v>78</v>
      </c>
      <c r="C24" s="190" t="s">
        <v>95</v>
      </c>
      <c r="D24" s="190"/>
      <c r="E24" s="35">
        <v>53.68</v>
      </c>
      <c r="F24" s="4">
        <v>1540</v>
      </c>
      <c r="G24" s="4">
        <f t="shared" si="19"/>
        <v>82667.199999999997</v>
      </c>
      <c r="H24" s="21" t="s">
        <v>133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1443.7500000000018</v>
      </c>
      <c r="N24" s="16">
        <f t="shared" si="3"/>
        <v>90.234375000000114</v>
      </c>
      <c r="O24" s="18">
        <f t="shared" si="4"/>
        <v>0</v>
      </c>
      <c r="P24" s="19">
        <f t="shared" si="5"/>
        <v>-3.5156249999998863</v>
      </c>
      <c r="Q24" s="20">
        <f t="shared" si="6"/>
        <v>0.96250000000000124</v>
      </c>
      <c r="R24" s="170"/>
      <c r="S24" s="27">
        <v>0.79930555555555549</v>
      </c>
      <c r="T24" s="27">
        <v>0.84374999999999989</v>
      </c>
      <c r="U24" s="4">
        <f t="shared" si="22"/>
        <v>6.9999999999999751</v>
      </c>
      <c r="V24" s="21">
        <f t="shared" si="21"/>
        <v>63.999999999999929</v>
      </c>
      <c r="W24" s="22"/>
      <c r="X24" s="27"/>
      <c r="Y24" s="27"/>
      <c r="Z24" s="27"/>
      <c r="AA24" s="162"/>
      <c r="AB24" s="162"/>
      <c r="AC24" s="24"/>
      <c r="AD24" s="24"/>
      <c r="AE24" s="18">
        <f t="shared" si="8"/>
        <v>-56.249999999998181</v>
      </c>
      <c r="AF24" s="20">
        <f t="shared" si="9"/>
        <v>0.96250000000000124</v>
      </c>
      <c r="AG24" s="170"/>
    </row>
    <row r="25" spans="1:33" ht="15.75" customHeight="1">
      <c r="A25" s="193" t="s">
        <v>2203</v>
      </c>
      <c r="B25" s="35" t="s">
        <v>2200</v>
      </c>
      <c r="C25" s="171"/>
      <c r="D25" s="171"/>
      <c r="E25" s="36"/>
      <c r="F25" s="4"/>
      <c r="G25" s="4"/>
      <c r="H25" s="4"/>
      <c r="I25" s="29">
        <v>15.166666666666666</v>
      </c>
      <c r="J25" s="17">
        <v>1916.6666666666667</v>
      </c>
      <c r="K25" s="16">
        <f t="shared" si="1"/>
        <v>126.37362637362638</v>
      </c>
      <c r="L25" s="29">
        <v>15.166666666666666</v>
      </c>
      <c r="M25" s="17">
        <f>AVERAGE(M19:M24)</f>
        <v>1834.3651575389385</v>
      </c>
      <c r="N25" s="16">
        <f t="shared" si="3"/>
        <v>120.94715324432562</v>
      </c>
      <c r="O25" s="18">
        <f t="shared" si="4"/>
        <v>0</v>
      </c>
      <c r="P25" s="19">
        <f t="shared" si="5"/>
        <v>-5.42647312930076</v>
      </c>
      <c r="Q25" s="20">
        <f t="shared" si="6"/>
        <v>0.95706008219422878</v>
      </c>
      <c r="R25" s="170"/>
      <c r="S25" s="27"/>
      <c r="T25" s="27"/>
      <c r="U25" s="16"/>
      <c r="V25" s="21"/>
      <c r="W25" s="16"/>
      <c r="X25" s="16"/>
      <c r="Y25" s="30">
        <f>SUM(Y19:Y24)</f>
        <v>0</v>
      </c>
      <c r="Z25" s="30">
        <f>SUM(Z19:Z24)</f>
        <v>0</v>
      </c>
      <c r="AA25" s="166"/>
      <c r="AB25" s="166"/>
      <c r="AC25" s="30">
        <v>6</v>
      </c>
      <c r="AD25" s="30">
        <f>SUM(AD19:AD24)</f>
        <v>0</v>
      </c>
      <c r="AE25" s="18">
        <f t="shared" si="8"/>
        <v>-82.301509127728195</v>
      </c>
      <c r="AF25" s="20">
        <f t="shared" si="9"/>
        <v>0.95706008219422878</v>
      </c>
      <c r="AG25" s="170"/>
    </row>
    <row r="26" spans="1:33" ht="15.75" customHeight="1">
      <c r="A26" s="191" t="s">
        <v>2204</v>
      </c>
      <c r="B26" s="35" t="s">
        <v>97</v>
      </c>
      <c r="C26" s="190" t="s">
        <v>98</v>
      </c>
      <c r="D26" s="190"/>
      <c r="E26" s="35">
        <v>31.29</v>
      </c>
      <c r="F26" s="4">
        <v>6000</v>
      </c>
      <c r="G26" s="4">
        <f t="shared" ref="G26:G31" si="23">E26*F26</f>
        <v>187740</v>
      </c>
      <c r="H26" s="21">
        <v>2</v>
      </c>
      <c r="I26" s="15">
        <v>18</v>
      </c>
      <c r="J26" s="17">
        <v>2400</v>
      </c>
      <c r="K26" s="16">
        <f t="shared" si="1"/>
        <v>133.33333333333334</v>
      </c>
      <c r="L26" s="15">
        <v>18</v>
      </c>
      <c r="M26" s="17">
        <f t="shared" ref="M26:M31" si="24">F26/V26*60</f>
        <v>2292.993630573249</v>
      </c>
      <c r="N26" s="16">
        <f t="shared" si="3"/>
        <v>127.38853503184717</v>
      </c>
      <c r="O26" s="18">
        <f t="shared" si="4"/>
        <v>0</v>
      </c>
      <c r="P26" s="19">
        <f t="shared" si="5"/>
        <v>-5.9447983014861734</v>
      </c>
      <c r="Q26" s="20">
        <f t="shared" si="6"/>
        <v>0.95541401273885374</v>
      </c>
      <c r="R26" s="170">
        <f>Q32</f>
        <v>0.96041061935193595</v>
      </c>
      <c r="S26" s="27">
        <v>8.3333333333333329E-2</v>
      </c>
      <c r="T26" s="27">
        <v>0.19236111111111109</v>
      </c>
      <c r="U26" s="4"/>
      <c r="V26" s="21">
        <f t="shared" ref="V26:V31" si="25">(T26-S26)*24*60</f>
        <v>156.99999999999997</v>
      </c>
      <c r="W26" s="22">
        <f>T26</f>
        <v>0.19236111111111109</v>
      </c>
      <c r="X26" s="22">
        <f>S27</f>
        <v>0.21180555555555552</v>
      </c>
      <c r="Y26" s="22"/>
      <c r="Z26" s="22"/>
      <c r="AA26" s="162"/>
      <c r="AB26" s="162"/>
      <c r="AC26" s="24">
        <v>6</v>
      </c>
      <c r="AD26" s="24"/>
      <c r="AE26" s="18">
        <f t="shared" si="8"/>
        <v>-107.00636942675101</v>
      </c>
      <c r="AF26" s="20">
        <f t="shared" si="9"/>
        <v>0.95541401273885374</v>
      </c>
      <c r="AG26" s="170">
        <f>AF32</f>
        <v>0.96041061935193583</v>
      </c>
    </row>
    <row r="27" spans="1:33" ht="15.75" customHeight="1">
      <c r="A27" s="191" t="s">
        <v>2204</v>
      </c>
      <c r="B27" s="35" t="s">
        <v>97</v>
      </c>
      <c r="C27" s="190" t="s">
        <v>99</v>
      </c>
      <c r="D27" s="190"/>
      <c r="E27" s="35">
        <v>25.98</v>
      </c>
      <c r="F27" s="4">
        <v>3181</v>
      </c>
      <c r="G27" s="4">
        <f t="shared" si="23"/>
        <v>82642.38</v>
      </c>
      <c r="H27" s="21" t="s">
        <v>133</v>
      </c>
      <c r="I27" s="15">
        <v>21</v>
      </c>
      <c r="J27" s="17">
        <v>2400</v>
      </c>
      <c r="K27" s="16">
        <f t="shared" si="1"/>
        <v>114.28571428571429</v>
      </c>
      <c r="L27" s="15">
        <v>21</v>
      </c>
      <c r="M27" s="17">
        <f t="shared" si="24"/>
        <v>2299.5180722891555</v>
      </c>
      <c r="N27" s="16">
        <f t="shared" si="3"/>
        <v>109.50086058519788</v>
      </c>
      <c r="O27" s="18">
        <f t="shared" si="4"/>
        <v>0</v>
      </c>
      <c r="P27" s="19">
        <f t="shared" si="5"/>
        <v>-4.7848537005164076</v>
      </c>
      <c r="Q27" s="20">
        <f t="shared" si="6"/>
        <v>0.95813253012048138</v>
      </c>
      <c r="R27" s="170"/>
      <c r="S27" s="27">
        <v>0.21180555555555552</v>
      </c>
      <c r="T27" s="27">
        <v>0.26944444444444443</v>
      </c>
      <c r="U27" s="4">
        <f t="shared" ref="U27:U31" si="26">(S27-T26)*24*60</f>
        <v>27.999999999999979</v>
      </c>
      <c r="V27" s="21">
        <f t="shared" si="25"/>
        <v>83.000000000000028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-100.4819277108445</v>
      </c>
      <c r="AF27" s="20">
        <f t="shared" si="9"/>
        <v>0.9581325301204815</v>
      </c>
      <c r="AG27" s="170"/>
    </row>
    <row r="28" spans="1:33" ht="15.75" customHeight="1">
      <c r="A28" s="191" t="s">
        <v>2204</v>
      </c>
      <c r="B28" s="35" t="s">
        <v>97</v>
      </c>
      <c r="C28" s="190" t="s">
        <v>100</v>
      </c>
      <c r="D28" s="190"/>
      <c r="E28" s="35">
        <v>26.2</v>
      </c>
      <c r="F28" s="4">
        <v>5385</v>
      </c>
      <c r="G28" s="4">
        <f t="shared" si="23"/>
        <v>141087</v>
      </c>
      <c r="H28" s="21" t="s">
        <v>133</v>
      </c>
      <c r="I28" s="15">
        <v>20</v>
      </c>
      <c r="J28" s="17">
        <v>2400</v>
      </c>
      <c r="K28" s="16">
        <f t="shared" si="1"/>
        <v>120</v>
      </c>
      <c r="L28" s="15">
        <v>20</v>
      </c>
      <c r="M28" s="17">
        <f t="shared" si="24"/>
        <v>2291.489361702128</v>
      </c>
      <c r="N28" s="16">
        <f t="shared" si="3"/>
        <v>114.5744680851064</v>
      </c>
      <c r="O28" s="18">
        <f t="shared" si="4"/>
        <v>0</v>
      </c>
      <c r="P28" s="19">
        <f t="shared" si="5"/>
        <v>-5.4255319148935968</v>
      </c>
      <c r="Q28" s="20">
        <f t="shared" si="6"/>
        <v>0.95478723404255339</v>
      </c>
      <c r="R28" s="170"/>
      <c r="S28" s="27">
        <v>0.27499999999999997</v>
      </c>
      <c r="T28" s="27">
        <v>0.37291666666666662</v>
      </c>
      <c r="U28" s="4">
        <f t="shared" si="26"/>
        <v>7.9999999999999716</v>
      </c>
      <c r="V28" s="21">
        <f t="shared" si="25"/>
        <v>140.99999999999997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-108.51063829787199</v>
      </c>
      <c r="AF28" s="20">
        <f t="shared" si="9"/>
        <v>0.95478723404255339</v>
      </c>
      <c r="AG28" s="170"/>
    </row>
    <row r="29" spans="1:33" ht="15.75" customHeight="1">
      <c r="A29" s="191" t="s">
        <v>2204</v>
      </c>
      <c r="B29" s="35" t="s">
        <v>97</v>
      </c>
      <c r="C29" s="190" t="s">
        <v>101</v>
      </c>
      <c r="D29" s="190"/>
      <c r="E29" s="35">
        <v>25.99</v>
      </c>
      <c r="F29" s="4">
        <v>4300</v>
      </c>
      <c r="G29" s="4">
        <f t="shared" si="23"/>
        <v>111757</v>
      </c>
      <c r="H29" s="21" t="s">
        <v>133</v>
      </c>
      <c r="I29" s="15">
        <v>14</v>
      </c>
      <c r="J29" s="17">
        <v>2400</v>
      </c>
      <c r="K29" s="16">
        <f t="shared" si="1"/>
        <v>171.42857142857142</v>
      </c>
      <c r="L29" s="15">
        <v>14</v>
      </c>
      <c r="M29" s="17">
        <f t="shared" si="24"/>
        <v>2303.5714285714289</v>
      </c>
      <c r="N29" s="16">
        <f t="shared" si="3"/>
        <v>164.54081632653063</v>
      </c>
      <c r="O29" s="18">
        <f t="shared" si="4"/>
        <v>0</v>
      </c>
      <c r="P29" s="19">
        <f t="shared" si="5"/>
        <v>-6.887755102040785</v>
      </c>
      <c r="Q29" s="20">
        <f t="shared" si="6"/>
        <v>0.95982142857142871</v>
      </c>
      <c r="R29" s="170"/>
      <c r="S29" s="27">
        <v>0.37777777777777771</v>
      </c>
      <c r="T29" s="27">
        <v>0.45555555555555549</v>
      </c>
      <c r="U29" s="4">
        <f t="shared" si="26"/>
        <v>6.9999999999999751</v>
      </c>
      <c r="V29" s="21">
        <f t="shared" si="25"/>
        <v>112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-96.428571428571104</v>
      </c>
      <c r="AF29" s="20">
        <f t="shared" si="9"/>
        <v>0.95982142857142871</v>
      </c>
      <c r="AG29" s="170"/>
    </row>
    <row r="30" spans="1:33" ht="15.75" customHeight="1">
      <c r="A30" s="191" t="s">
        <v>2204</v>
      </c>
      <c r="B30" s="35" t="s">
        <v>97</v>
      </c>
      <c r="C30" s="190" t="s">
        <v>102</v>
      </c>
      <c r="D30" s="190"/>
      <c r="E30" s="35">
        <v>26.18</v>
      </c>
      <c r="F30" s="4">
        <v>1827</v>
      </c>
      <c r="G30" s="4">
        <f t="shared" si="23"/>
        <v>47830.86</v>
      </c>
      <c r="H30" s="21" t="s">
        <v>133</v>
      </c>
      <c r="I30" s="15">
        <v>19</v>
      </c>
      <c r="J30" s="17">
        <v>2400</v>
      </c>
      <c r="K30" s="16">
        <f t="shared" si="1"/>
        <v>126.31578947368421</v>
      </c>
      <c r="L30" s="15">
        <v>19</v>
      </c>
      <c r="M30" s="17">
        <f t="shared" si="24"/>
        <v>2332.3404255319156</v>
      </c>
      <c r="N30" s="16">
        <f t="shared" si="3"/>
        <v>122.75475923852187</v>
      </c>
      <c r="O30" s="18">
        <f t="shared" si="4"/>
        <v>0</v>
      </c>
      <c r="P30" s="19">
        <f t="shared" si="5"/>
        <v>-3.5610302351623346</v>
      </c>
      <c r="Q30" s="20">
        <f t="shared" si="6"/>
        <v>0.97180851063829821</v>
      </c>
      <c r="R30" s="170"/>
      <c r="S30" s="27">
        <v>0.46041666666666659</v>
      </c>
      <c r="T30" s="27">
        <v>0.49305555555555547</v>
      </c>
      <c r="U30" s="4">
        <f t="shared" si="26"/>
        <v>6.9999999999999751</v>
      </c>
      <c r="V30" s="21">
        <f t="shared" si="25"/>
        <v>46.999999999999993</v>
      </c>
      <c r="W30" s="22">
        <f>T30</f>
        <v>0.49305555555555547</v>
      </c>
      <c r="X30" s="22">
        <f>S31</f>
        <v>0.53263888888888877</v>
      </c>
      <c r="Y30" s="22"/>
      <c r="Z30" s="22"/>
      <c r="AA30" s="162"/>
      <c r="AB30" s="162"/>
      <c r="AC30" s="24"/>
      <c r="AD30" s="24"/>
      <c r="AE30" s="18">
        <f t="shared" si="8"/>
        <v>-67.659574468084429</v>
      </c>
      <c r="AF30" s="20">
        <f t="shared" si="9"/>
        <v>0.97180851063829821</v>
      </c>
      <c r="AG30" s="170"/>
    </row>
    <row r="31" spans="1:33" ht="15.75" customHeight="1">
      <c r="A31" s="191" t="s">
        <v>2204</v>
      </c>
      <c r="B31" s="35" t="s">
        <v>97</v>
      </c>
      <c r="C31" s="190" t="s">
        <v>98</v>
      </c>
      <c r="D31" s="190"/>
      <c r="E31" s="35">
        <v>31.29</v>
      </c>
      <c r="F31" s="4">
        <v>3157</v>
      </c>
      <c r="G31" s="4">
        <f t="shared" si="23"/>
        <v>98782.53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4"/>
        <v>2309.9999999999991</v>
      </c>
      <c r="N31" s="16">
        <f t="shared" si="3"/>
        <v>128.33333333333329</v>
      </c>
      <c r="O31" s="18">
        <f t="shared" si="4"/>
        <v>0</v>
      </c>
      <c r="P31" s="19">
        <f t="shared" si="5"/>
        <v>-5.0000000000000568</v>
      </c>
      <c r="Q31" s="20">
        <f t="shared" si="6"/>
        <v>0.96249999999999958</v>
      </c>
      <c r="R31" s="170"/>
      <c r="S31" s="27">
        <v>0.53263888888888877</v>
      </c>
      <c r="T31" s="27">
        <v>0.58958333333333324</v>
      </c>
      <c r="U31" s="4">
        <f t="shared" si="26"/>
        <v>56.999999999999957</v>
      </c>
      <c r="V31" s="21">
        <f t="shared" si="25"/>
        <v>82.000000000000028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-90.000000000000909</v>
      </c>
      <c r="AF31" s="20">
        <f t="shared" si="9"/>
        <v>0.96249999999999958</v>
      </c>
      <c r="AG31" s="170"/>
    </row>
    <row r="32" spans="1:33" ht="15.75" customHeight="1">
      <c r="A32" s="191" t="s">
        <v>2204</v>
      </c>
      <c r="B32" s="35" t="s">
        <v>2200</v>
      </c>
      <c r="C32" s="171"/>
      <c r="D32" s="171"/>
      <c r="E32" s="36"/>
      <c r="F32" s="4"/>
      <c r="G32" s="4"/>
      <c r="H32" s="4"/>
      <c r="I32" s="29">
        <v>18.333333333333332</v>
      </c>
      <c r="J32" s="17">
        <v>2400</v>
      </c>
      <c r="K32" s="16">
        <f t="shared" si="1"/>
        <v>130.90909090909091</v>
      </c>
      <c r="L32" s="29">
        <v>18.333333333333332</v>
      </c>
      <c r="M32" s="17">
        <f>AVERAGE(M26:M31)</f>
        <v>2304.9854864446461</v>
      </c>
      <c r="N32" s="16">
        <f t="shared" si="3"/>
        <v>125.72648107879888</v>
      </c>
      <c r="O32" s="18">
        <f t="shared" si="4"/>
        <v>0</v>
      </c>
      <c r="P32" s="19">
        <f t="shared" si="5"/>
        <v>-5.1826098302920229</v>
      </c>
      <c r="Q32" s="20">
        <f t="shared" si="6"/>
        <v>0.96041061935193595</v>
      </c>
      <c r="R32" s="170"/>
      <c r="S32" s="27"/>
      <c r="T32" s="27"/>
      <c r="U32" s="4"/>
      <c r="V32" s="21"/>
      <c r="W32" s="4"/>
      <c r="X32" s="4"/>
      <c r="Y32" s="30">
        <f>SUM(Y26:Y31)</f>
        <v>0</v>
      </c>
      <c r="Z32" s="30">
        <f>SUM(Z26:Z31)</f>
        <v>0</v>
      </c>
      <c r="AA32" s="166"/>
      <c r="AB32" s="166"/>
      <c r="AC32" s="30">
        <v>6</v>
      </c>
      <c r="AD32" s="30">
        <f>SUM(AD26:AD31)</f>
        <v>0</v>
      </c>
      <c r="AE32" s="18">
        <f t="shared" si="8"/>
        <v>-95.014513555353915</v>
      </c>
      <c r="AF32" s="20">
        <f t="shared" si="9"/>
        <v>0.96041061935193583</v>
      </c>
      <c r="AG32" s="170"/>
    </row>
    <row r="33" spans="1:33" ht="15.75" customHeight="1">
      <c r="A33" s="188" t="s">
        <v>2205</v>
      </c>
      <c r="B33" s="35" t="s">
        <v>97</v>
      </c>
      <c r="C33" s="163" t="s">
        <v>103</v>
      </c>
      <c r="D33" s="163"/>
      <c r="E33" s="35">
        <v>26.2</v>
      </c>
      <c r="F33" s="4">
        <v>4600</v>
      </c>
      <c r="G33" s="4">
        <f t="shared" ref="G33:G39" si="27">E33*F33</f>
        <v>120520</v>
      </c>
      <c r="H33" s="21">
        <v>2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ref="M33:M39" si="28">F33/V33*60</f>
        <v>2300</v>
      </c>
      <c r="N33" s="16">
        <f t="shared" si="3"/>
        <v>127.77777777777777</v>
      </c>
      <c r="O33" s="18">
        <f t="shared" si="4"/>
        <v>0</v>
      </c>
      <c r="P33" s="19">
        <f t="shared" si="5"/>
        <v>-5.5555555555555713</v>
      </c>
      <c r="Q33" s="20">
        <f t="shared" si="6"/>
        <v>0.95833333333333326</v>
      </c>
      <c r="R33" s="170">
        <f>Q40</f>
        <v>0.95886680636441901</v>
      </c>
      <c r="S33" s="27">
        <v>8.3333333333333329E-2</v>
      </c>
      <c r="T33" s="27">
        <v>0.16666666666666666</v>
      </c>
      <c r="U33" s="4"/>
      <c r="V33" s="21">
        <f t="shared" ref="V33:V39" si="29">(T33-S33)*24*60</f>
        <v>120</v>
      </c>
      <c r="W33" s="27">
        <f>T33</f>
        <v>0.16666666666666666</v>
      </c>
      <c r="X33" s="27">
        <f>S34</f>
        <v>0.18680555555555556</v>
      </c>
      <c r="Y33" s="27"/>
      <c r="Z33" s="27"/>
      <c r="AA33" s="162"/>
      <c r="AB33" s="162"/>
      <c r="AC33" s="24">
        <v>7</v>
      </c>
      <c r="AD33" s="24"/>
      <c r="AE33" s="18">
        <f t="shared" si="8"/>
        <v>-100</v>
      </c>
      <c r="AF33" s="20">
        <f t="shared" si="9"/>
        <v>0.95833333333333337</v>
      </c>
      <c r="AG33" s="170">
        <f>AF40</f>
        <v>0.95886680636441912</v>
      </c>
    </row>
    <row r="34" spans="1:33" ht="15.75" customHeight="1">
      <c r="A34" s="188" t="s">
        <v>2205</v>
      </c>
      <c r="B34" s="35" t="s">
        <v>97</v>
      </c>
      <c r="C34" s="163" t="s">
        <v>104</v>
      </c>
      <c r="D34" s="163"/>
      <c r="E34" s="35">
        <v>20.52</v>
      </c>
      <c r="F34" s="4">
        <v>3922</v>
      </c>
      <c r="G34" s="4">
        <f t="shared" si="27"/>
        <v>80479.44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2284.6601941747585</v>
      </c>
      <c r="N34" s="16">
        <f t="shared" si="3"/>
        <v>126.92556634304214</v>
      </c>
      <c r="O34" s="18">
        <f t="shared" si="4"/>
        <v>0</v>
      </c>
      <c r="P34" s="19">
        <f t="shared" si="5"/>
        <v>-6.4077669902912078</v>
      </c>
      <c r="Q34" s="20">
        <f t="shared" si="6"/>
        <v>0.95194174757281591</v>
      </c>
      <c r="R34" s="170"/>
      <c r="S34" s="27">
        <v>0.18680555555555556</v>
      </c>
      <c r="T34" s="27">
        <v>0.2583333333333333</v>
      </c>
      <c r="U34" s="4">
        <f t="shared" ref="U34:U39" si="30">(S34-T33)*24*60</f>
        <v>29.000000000000018</v>
      </c>
      <c r="V34" s="21">
        <f t="shared" si="29"/>
        <v>102.99999999999996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-115.33980582524146</v>
      </c>
      <c r="AF34" s="20">
        <f t="shared" si="9"/>
        <v>0.95194174757281602</v>
      </c>
      <c r="AG34" s="170"/>
    </row>
    <row r="35" spans="1:33">
      <c r="A35" s="189" t="s">
        <v>2205</v>
      </c>
      <c r="B35" s="35" t="s">
        <v>97</v>
      </c>
      <c r="C35" s="163" t="s">
        <v>105</v>
      </c>
      <c r="D35" s="163"/>
      <c r="E35" s="35">
        <v>26.39</v>
      </c>
      <c r="F35" s="4">
        <v>4100</v>
      </c>
      <c r="G35" s="4">
        <f t="shared" si="27"/>
        <v>108199</v>
      </c>
      <c r="H35" s="21">
        <v>2</v>
      </c>
      <c r="I35" s="15">
        <v>19</v>
      </c>
      <c r="J35" s="17">
        <v>2400</v>
      </c>
      <c r="K35" s="16">
        <f t="shared" si="1"/>
        <v>126.31578947368421</v>
      </c>
      <c r="L35" s="15">
        <v>19</v>
      </c>
      <c r="M35" s="17">
        <f t="shared" si="28"/>
        <v>2299.0654205607475</v>
      </c>
      <c r="N35" s="16">
        <f t="shared" si="3"/>
        <v>121.00344318740777</v>
      </c>
      <c r="O35" s="18">
        <f t="shared" si="4"/>
        <v>0</v>
      </c>
      <c r="P35" s="19">
        <f t="shared" si="5"/>
        <v>-5.312346286276437</v>
      </c>
      <c r="Q35" s="20">
        <f t="shared" si="6"/>
        <v>0.95794392523364491</v>
      </c>
      <c r="R35" s="170"/>
      <c r="S35" s="27">
        <v>0.26388888888888884</v>
      </c>
      <c r="T35" s="27">
        <v>0.33819444444444441</v>
      </c>
      <c r="U35" s="4">
        <f t="shared" si="30"/>
        <v>7.9999999999999716</v>
      </c>
      <c r="V35" s="21">
        <f t="shared" si="29"/>
        <v>107.00000000000001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-100.9345794392525</v>
      </c>
      <c r="AF35" s="20">
        <f t="shared" si="9"/>
        <v>0.9579439252336448</v>
      </c>
      <c r="AG35" s="170"/>
    </row>
    <row r="36" spans="1:33">
      <c r="A36" s="189" t="s">
        <v>2205</v>
      </c>
      <c r="B36" s="35" t="s">
        <v>97</v>
      </c>
      <c r="C36" s="163" t="s">
        <v>107</v>
      </c>
      <c r="D36" s="163"/>
      <c r="E36" s="35">
        <v>20.52</v>
      </c>
      <c r="F36" s="4">
        <v>2886</v>
      </c>
      <c r="G36" s="4">
        <f t="shared" si="27"/>
        <v>59220.72</v>
      </c>
      <c r="H36" s="21" t="s">
        <v>133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2308.8000000000006</v>
      </c>
      <c r="N36" s="16">
        <f t="shared" si="3"/>
        <v>128.26666666666671</v>
      </c>
      <c r="O36" s="18">
        <f t="shared" si="4"/>
        <v>0</v>
      </c>
      <c r="P36" s="19">
        <f t="shared" si="5"/>
        <v>-5.0666666666666345</v>
      </c>
      <c r="Q36" s="20">
        <f t="shared" si="6"/>
        <v>0.9620000000000003</v>
      </c>
      <c r="R36" s="170"/>
      <c r="S36" s="27">
        <v>0.34166666666666662</v>
      </c>
      <c r="T36" s="27">
        <v>0.39374999999999993</v>
      </c>
      <c r="U36" s="4">
        <f t="shared" si="30"/>
        <v>4.9999999999999822</v>
      </c>
      <c r="V36" s="21">
        <f t="shared" si="29"/>
        <v>74.999999999999972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-91.199999999999363</v>
      </c>
      <c r="AF36" s="20">
        <f t="shared" si="9"/>
        <v>0.9620000000000003</v>
      </c>
      <c r="AG36" s="170"/>
    </row>
    <row r="37" spans="1:33">
      <c r="A37" s="189" t="s">
        <v>2205</v>
      </c>
      <c r="B37" s="35" t="s">
        <v>97</v>
      </c>
      <c r="C37" s="163" t="s">
        <v>304</v>
      </c>
      <c r="D37" s="163"/>
      <c r="E37" s="35">
        <v>22.69</v>
      </c>
      <c r="F37" s="4">
        <v>5672</v>
      </c>
      <c r="G37" s="4">
        <f t="shared" si="27"/>
        <v>128697.68000000001</v>
      </c>
      <c r="H37" s="21" t="s">
        <v>133</v>
      </c>
      <c r="I37" s="15">
        <v>15</v>
      </c>
      <c r="J37" s="17">
        <v>2400</v>
      </c>
      <c r="K37" s="16">
        <f t="shared" si="1"/>
        <v>160</v>
      </c>
      <c r="L37" s="15">
        <v>15</v>
      </c>
      <c r="M37" s="17">
        <f t="shared" si="28"/>
        <v>2299.45945945946</v>
      </c>
      <c r="N37" s="16">
        <f t="shared" si="3"/>
        <v>153.29729729729735</v>
      </c>
      <c r="O37" s="18">
        <f t="shared" si="4"/>
        <v>0</v>
      </c>
      <c r="P37" s="19">
        <f t="shared" si="5"/>
        <v>-6.702702702702652</v>
      </c>
      <c r="Q37" s="20">
        <f t="shared" si="6"/>
        <v>0.95810810810810842</v>
      </c>
      <c r="R37" s="170"/>
      <c r="S37" s="27">
        <v>0.39930555555555547</v>
      </c>
      <c r="T37" s="27">
        <v>0.50208333333333321</v>
      </c>
      <c r="U37" s="4">
        <f t="shared" si="30"/>
        <v>7.9999999999999716</v>
      </c>
      <c r="V37" s="21">
        <f t="shared" si="29"/>
        <v>147.99999999999994</v>
      </c>
      <c r="W37" s="22">
        <f>T37</f>
        <v>0.50208333333333321</v>
      </c>
      <c r="X37" s="22">
        <f>S38</f>
        <v>0.54166666666666652</v>
      </c>
      <c r="Y37" s="22"/>
      <c r="Z37" s="22"/>
      <c r="AA37" s="162"/>
      <c r="AB37" s="162"/>
      <c r="AC37" s="24"/>
      <c r="AD37" s="24"/>
      <c r="AE37" s="18">
        <f t="shared" si="8"/>
        <v>-100.54054054053995</v>
      </c>
      <c r="AF37" s="20">
        <f t="shared" si="9"/>
        <v>0.95810810810810831</v>
      </c>
      <c r="AG37" s="170"/>
    </row>
    <row r="38" spans="1:33">
      <c r="A38" s="189" t="s">
        <v>2205</v>
      </c>
      <c r="B38" s="35" t="s">
        <v>97</v>
      </c>
      <c r="C38" s="163" t="s">
        <v>103</v>
      </c>
      <c r="D38" s="163"/>
      <c r="E38" s="35">
        <v>26.2</v>
      </c>
      <c r="F38" s="4">
        <v>2109</v>
      </c>
      <c r="G38" s="4">
        <f t="shared" si="27"/>
        <v>55255.799999999996</v>
      </c>
      <c r="H38" s="21" t="s">
        <v>133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2300.7272727272743</v>
      </c>
      <c r="N38" s="16">
        <f t="shared" si="3"/>
        <v>127.81818181818191</v>
      </c>
      <c r="O38" s="18">
        <f t="shared" si="4"/>
        <v>0</v>
      </c>
      <c r="P38" s="19">
        <f t="shared" si="5"/>
        <v>-5.5151515151514303</v>
      </c>
      <c r="Q38" s="20">
        <f t="shared" si="6"/>
        <v>0.95863636363636429</v>
      </c>
      <c r="R38" s="170"/>
      <c r="S38" s="27">
        <v>0.54166666666666652</v>
      </c>
      <c r="T38" s="27">
        <v>0.57986111111111094</v>
      </c>
      <c r="U38" s="4">
        <f t="shared" si="30"/>
        <v>56.999999999999957</v>
      </c>
      <c r="V38" s="21">
        <f t="shared" si="29"/>
        <v>54.999999999999964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-99.27272727272566</v>
      </c>
      <c r="AF38" s="20">
        <f t="shared" si="9"/>
        <v>0.95863636363636429</v>
      </c>
      <c r="AG38" s="170"/>
    </row>
    <row r="39" spans="1:33">
      <c r="A39" s="189" t="s">
        <v>2205</v>
      </c>
      <c r="B39" s="35" t="s">
        <v>97</v>
      </c>
      <c r="C39" s="163" t="s">
        <v>105</v>
      </c>
      <c r="D39" s="163"/>
      <c r="E39" s="35">
        <v>26.39</v>
      </c>
      <c r="F39" s="4">
        <v>1853</v>
      </c>
      <c r="G39" s="4">
        <f t="shared" si="27"/>
        <v>48900.67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2316.2500000000009</v>
      </c>
      <c r="N39" s="16">
        <f t="shared" si="3"/>
        <v>121.90789473684215</v>
      </c>
      <c r="O39" s="18">
        <f t="shared" si="4"/>
        <v>0</v>
      </c>
      <c r="P39" s="19">
        <f t="shared" si="5"/>
        <v>-4.4078947368420529</v>
      </c>
      <c r="Q39" s="20">
        <f t="shared" si="6"/>
        <v>0.9651041666666671</v>
      </c>
      <c r="R39" s="170"/>
      <c r="S39" s="27">
        <v>0.58333333333333315</v>
      </c>
      <c r="T39" s="27">
        <v>0.61666666666666647</v>
      </c>
      <c r="U39" s="4">
        <f t="shared" si="30"/>
        <v>4.9999999999999822</v>
      </c>
      <c r="V39" s="21">
        <f t="shared" si="29"/>
        <v>47.999999999999986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-83.749999999999091</v>
      </c>
      <c r="AF39" s="20">
        <f t="shared" si="9"/>
        <v>0.9651041666666671</v>
      </c>
      <c r="AG39" s="170"/>
    </row>
    <row r="40" spans="1:33">
      <c r="A40" s="189" t="s">
        <v>2205</v>
      </c>
      <c r="B40" s="16" t="s">
        <v>2200</v>
      </c>
      <c r="C40" s="171"/>
      <c r="D40" s="171"/>
      <c r="E40" s="36"/>
      <c r="F40" s="16"/>
      <c r="G40" s="16"/>
      <c r="H40" s="4"/>
      <c r="I40" s="29">
        <v>17.857142857142858</v>
      </c>
      <c r="J40" s="17">
        <v>2400</v>
      </c>
      <c r="K40" s="16">
        <f t="shared" si="1"/>
        <v>134.4</v>
      </c>
      <c r="L40" s="29">
        <v>17.857142857142858</v>
      </c>
      <c r="M40" s="17">
        <f>AVERAGE(M33:M39)</f>
        <v>2301.2803352746059</v>
      </c>
      <c r="N40" s="16">
        <f t="shared" si="3"/>
        <v>128.87169877537792</v>
      </c>
      <c r="O40" s="18">
        <f t="shared" si="4"/>
        <v>0</v>
      </c>
      <c r="P40" s="19">
        <f t="shared" si="5"/>
        <v>-5.5283012246220835</v>
      </c>
      <c r="Q40" s="20">
        <f t="shared" si="6"/>
        <v>0.95886680636441901</v>
      </c>
      <c r="R40" s="170"/>
      <c r="S40" s="27"/>
      <c r="T40" s="27"/>
      <c r="U40" s="16"/>
      <c r="V40" s="21"/>
      <c r="W40" s="16"/>
      <c r="X40" s="16"/>
      <c r="Y40" s="30">
        <f>SUM(Y33:Y39)</f>
        <v>0</v>
      </c>
      <c r="Z40" s="30">
        <f>SUM(Z33:Z39)</f>
        <v>0</v>
      </c>
      <c r="AA40" s="166"/>
      <c r="AB40" s="166"/>
      <c r="AC40" s="30">
        <v>7</v>
      </c>
      <c r="AD40" s="30">
        <f>SUM(AD33:AD39)</f>
        <v>0</v>
      </c>
      <c r="AE40" s="18">
        <f t="shared" si="8"/>
        <v>-98.719664725394068</v>
      </c>
      <c r="AF40" s="20">
        <f t="shared" si="9"/>
        <v>0.95886680636441912</v>
      </c>
      <c r="AG40" s="170"/>
    </row>
    <row r="41" spans="1:33" ht="15.75" customHeight="1">
      <c r="A41" s="182" t="s">
        <v>2206</v>
      </c>
      <c r="B41" s="35" t="s">
        <v>108</v>
      </c>
      <c r="C41" s="174" t="s">
        <v>1514</v>
      </c>
      <c r="D41" s="175"/>
      <c r="E41" s="35">
        <v>34.35</v>
      </c>
      <c r="F41" s="4">
        <v>2938</v>
      </c>
      <c r="G41" s="4">
        <f t="shared" ref="G41:G45" si="31">E41*F41</f>
        <v>100920.3</v>
      </c>
      <c r="H41" s="21" t="s">
        <v>133</v>
      </c>
      <c r="I41" s="15">
        <v>8</v>
      </c>
      <c r="J41" s="17">
        <v>3000</v>
      </c>
      <c r="K41" s="16">
        <f t="shared" si="1"/>
        <v>375</v>
      </c>
      <c r="L41" s="15">
        <v>8</v>
      </c>
      <c r="M41" s="17">
        <f t="shared" ref="M41:M45" si="32">F41/V41*60</f>
        <v>2889.8360655737706</v>
      </c>
      <c r="N41" s="17">
        <f t="shared" si="3"/>
        <v>361.22950819672133</v>
      </c>
      <c r="O41" s="18">
        <f t="shared" si="4"/>
        <v>0</v>
      </c>
      <c r="P41" s="19">
        <f t="shared" si="5"/>
        <v>-13.770491803278674</v>
      </c>
      <c r="Q41" s="20">
        <f t="shared" si="6"/>
        <v>0.9632786885245902</v>
      </c>
      <c r="R41" s="185">
        <f>Q46</f>
        <v>0.96072281594139541</v>
      </c>
      <c r="S41" s="27">
        <v>8.3333333333333329E-2</v>
      </c>
      <c r="T41" s="27">
        <v>0.12569444444444444</v>
      </c>
      <c r="U41" s="27"/>
      <c r="V41" s="21">
        <f t="shared" ref="V41:V45" si="33">(T41-S41)*24*60</f>
        <v>61</v>
      </c>
      <c r="W41" s="22">
        <f>T41</f>
        <v>0.12569444444444444</v>
      </c>
      <c r="X41" s="22">
        <f>S42</f>
        <v>0.14444444444444443</v>
      </c>
      <c r="Y41" s="25"/>
      <c r="Z41" s="25"/>
      <c r="AA41" s="176"/>
      <c r="AB41" s="177"/>
      <c r="AC41" s="24">
        <v>5</v>
      </c>
      <c r="AD41" s="24"/>
      <c r="AE41" s="18">
        <f t="shared" si="8"/>
        <v>-110.16393442622939</v>
      </c>
      <c r="AF41" s="20">
        <f t="shared" si="9"/>
        <v>0.9632786885245902</v>
      </c>
      <c r="AG41" s="185">
        <f>AF46</f>
        <v>0.9607228159413953</v>
      </c>
    </row>
    <row r="42" spans="1:33" ht="15.75" customHeight="1">
      <c r="A42" s="183" t="s">
        <v>2207</v>
      </c>
      <c r="B42" s="35" t="s">
        <v>108</v>
      </c>
      <c r="C42" s="174" t="s">
        <v>111</v>
      </c>
      <c r="D42" s="175"/>
      <c r="E42" s="35">
        <v>21.13</v>
      </c>
      <c r="F42" s="4">
        <v>5830</v>
      </c>
      <c r="G42" s="4">
        <f t="shared" si="31"/>
        <v>123187.9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2867.213114754099</v>
      </c>
      <c r="N42" s="17">
        <f t="shared" si="3"/>
        <v>286.72131147540989</v>
      </c>
      <c r="O42" s="18">
        <f t="shared" si="4"/>
        <v>0</v>
      </c>
      <c r="P42" s="19">
        <f t="shared" si="5"/>
        <v>-13.278688524590109</v>
      </c>
      <c r="Q42" s="20">
        <f t="shared" si="6"/>
        <v>0.955737704918033</v>
      </c>
      <c r="R42" s="186"/>
      <c r="S42" s="27">
        <v>0.14444444444444443</v>
      </c>
      <c r="T42" s="27">
        <v>0.22916666666666663</v>
      </c>
      <c r="U42" s="4">
        <f t="shared" ref="U42:U45" si="34">(S42-T41)*24*60</f>
        <v>26.999999999999986</v>
      </c>
      <c r="V42" s="21">
        <f t="shared" si="33"/>
        <v>121.99999999999997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-132.78688524590098</v>
      </c>
      <c r="AF42" s="20">
        <f t="shared" si="9"/>
        <v>0.955737704918033</v>
      </c>
      <c r="AG42" s="186"/>
    </row>
    <row r="43" spans="1:33" ht="15.75" customHeight="1">
      <c r="A43" s="183" t="s">
        <v>2207</v>
      </c>
      <c r="B43" s="35" t="s">
        <v>108</v>
      </c>
      <c r="C43" s="174" t="s">
        <v>112</v>
      </c>
      <c r="D43" s="175"/>
      <c r="E43" s="35">
        <v>27.17</v>
      </c>
      <c r="F43" s="4">
        <v>6847</v>
      </c>
      <c r="G43" s="4">
        <f t="shared" si="31"/>
        <v>186032.99000000002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2872.8671328671335</v>
      </c>
      <c r="N43" s="17">
        <f t="shared" si="3"/>
        <v>287.28671328671334</v>
      </c>
      <c r="O43" s="18">
        <f t="shared" si="4"/>
        <v>0</v>
      </c>
      <c r="P43" s="19">
        <f t="shared" si="5"/>
        <v>-12.713286713286664</v>
      </c>
      <c r="Q43" s="20">
        <f t="shared" si="6"/>
        <v>0.95762237762237779</v>
      </c>
      <c r="R43" s="186"/>
      <c r="S43" s="27">
        <v>0.23263888888888884</v>
      </c>
      <c r="T43" s="27">
        <v>0.33194444444444438</v>
      </c>
      <c r="U43" s="4">
        <f t="shared" si="34"/>
        <v>4.9999999999999822</v>
      </c>
      <c r="V43" s="21">
        <f t="shared" si="33"/>
        <v>142.99999999999997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-127.13286713286652</v>
      </c>
      <c r="AF43" s="20">
        <f t="shared" si="9"/>
        <v>0.95762237762237779</v>
      </c>
      <c r="AG43" s="186"/>
    </row>
    <row r="44" spans="1:33" ht="15.75" customHeight="1">
      <c r="A44" s="183" t="s">
        <v>2207</v>
      </c>
      <c r="B44" s="35" t="s">
        <v>108</v>
      </c>
      <c r="C44" s="174" t="s">
        <v>305</v>
      </c>
      <c r="D44" s="175"/>
      <c r="E44" s="35">
        <v>28.3</v>
      </c>
      <c r="F44" s="4">
        <v>2509</v>
      </c>
      <c r="G44" s="4">
        <f t="shared" si="31"/>
        <v>71004.7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2895.0000000000018</v>
      </c>
      <c r="N44" s="17">
        <f t="shared" si="3"/>
        <v>361.87500000000023</v>
      </c>
      <c r="O44" s="18">
        <f t="shared" si="4"/>
        <v>0</v>
      </c>
      <c r="P44" s="19">
        <f t="shared" si="5"/>
        <v>-13.124999999999773</v>
      </c>
      <c r="Q44" s="20">
        <f t="shared" si="6"/>
        <v>0.96500000000000064</v>
      </c>
      <c r="R44" s="186"/>
      <c r="S44" s="27">
        <v>0.33749999999999991</v>
      </c>
      <c r="T44" s="27">
        <v>0.37361111111111101</v>
      </c>
      <c r="U44" s="4">
        <f t="shared" si="34"/>
        <v>7.9999999999999716</v>
      </c>
      <c r="V44" s="21">
        <f t="shared" si="33"/>
        <v>51.999999999999972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-104.99999999999818</v>
      </c>
      <c r="AF44" s="20">
        <f t="shared" si="9"/>
        <v>0.96500000000000064</v>
      </c>
      <c r="AG44" s="186"/>
    </row>
    <row r="45" spans="1:33" ht="15.75" customHeight="1">
      <c r="A45" s="183" t="s">
        <v>2207</v>
      </c>
      <c r="B45" s="35" t="s">
        <v>108</v>
      </c>
      <c r="C45" s="174" t="s">
        <v>113</v>
      </c>
      <c r="D45" s="175"/>
      <c r="E45" s="35">
        <v>35.869999999999997</v>
      </c>
      <c r="F45" s="4">
        <v>3896</v>
      </c>
      <c r="G45" s="4">
        <f t="shared" si="31"/>
        <v>139749.51999999999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2885.9259259259252</v>
      </c>
      <c r="N45" s="17">
        <f t="shared" si="3"/>
        <v>320.65843621399171</v>
      </c>
      <c r="O45" s="18">
        <f t="shared" si="4"/>
        <v>0</v>
      </c>
      <c r="P45" s="19">
        <f t="shared" si="5"/>
        <v>-12.674897119341608</v>
      </c>
      <c r="Q45" s="20">
        <f t="shared" si="6"/>
        <v>0.96197530864197522</v>
      </c>
      <c r="R45" s="186"/>
      <c r="S45" s="27">
        <v>0.37777777777777766</v>
      </c>
      <c r="T45" s="27">
        <v>0.43402777777777768</v>
      </c>
      <c r="U45" s="4">
        <f t="shared" si="34"/>
        <v>5.9999999999999787</v>
      </c>
      <c r="V45" s="21">
        <f t="shared" si="33"/>
        <v>81.000000000000028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-114.07407407407482</v>
      </c>
      <c r="AF45" s="20">
        <f t="shared" si="9"/>
        <v>0.96197530864197511</v>
      </c>
      <c r="AG45" s="186"/>
    </row>
    <row r="46" spans="1:33" ht="15.75" customHeight="1">
      <c r="A46" s="184" t="s">
        <v>2207</v>
      </c>
      <c r="B46" s="35" t="s">
        <v>2208</v>
      </c>
      <c r="C46" s="164"/>
      <c r="D46" s="165"/>
      <c r="E46" s="37"/>
      <c r="F46" s="4"/>
      <c r="G46" s="4"/>
      <c r="H46" s="4"/>
      <c r="I46" s="29">
        <v>9</v>
      </c>
      <c r="J46" s="17">
        <v>3000</v>
      </c>
      <c r="K46" s="16">
        <f t="shared" si="1"/>
        <v>333.33333333333331</v>
      </c>
      <c r="L46" s="29">
        <v>9</v>
      </c>
      <c r="M46" s="17">
        <f>AVERAGE(M41:M45)</f>
        <v>2882.1684478241859</v>
      </c>
      <c r="N46" s="16">
        <f t="shared" si="3"/>
        <v>320.24093864713177</v>
      </c>
      <c r="O46" s="18">
        <f t="shared" si="4"/>
        <v>0</v>
      </c>
      <c r="P46" s="19">
        <f t="shared" si="5"/>
        <v>-13.092394686201544</v>
      </c>
      <c r="Q46" s="20">
        <f t="shared" si="6"/>
        <v>0.96072281594139541</v>
      </c>
      <c r="R46" s="187"/>
      <c r="S46" s="27"/>
      <c r="T46" s="27"/>
      <c r="U46" s="4"/>
      <c r="V46" s="21"/>
      <c r="W46" s="22"/>
      <c r="X46" s="22"/>
      <c r="Y46" s="30">
        <f>SUM(Y41:Y45)</f>
        <v>0</v>
      </c>
      <c r="Z46" s="30">
        <f>SUM(Z41:Z45)</f>
        <v>0</v>
      </c>
      <c r="AA46" s="180"/>
      <c r="AB46" s="181"/>
      <c r="AC46" s="30">
        <v>5</v>
      </c>
      <c r="AD46" s="30">
        <f>SUM(AD41:AD45)</f>
        <v>0</v>
      </c>
      <c r="AE46" s="18">
        <f t="shared" si="8"/>
        <v>-117.83155217581407</v>
      </c>
      <c r="AF46" s="20">
        <f t="shared" si="9"/>
        <v>0.9607228159413953</v>
      </c>
      <c r="AG46" s="187"/>
    </row>
    <row r="47" spans="1:33" ht="15.75" customHeight="1">
      <c r="A47" s="178" t="s">
        <v>2209</v>
      </c>
      <c r="B47" s="35" t="s">
        <v>84</v>
      </c>
      <c r="C47" s="163" t="s">
        <v>114</v>
      </c>
      <c r="D47" s="163"/>
      <c r="E47" s="35">
        <v>46</v>
      </c>
      <c r="F47" s="38">
        <v>2427</v>
      </c>
      <c r="G47" s="4">
        <f t="shared" ref="G47:G53" si="35">E47*F47</f>
        <v>111642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" si="36">F47/V47*60</f>
        <v>1916.0526315789471</v>
      </c>
      <c r="N47" s="17">
        <f t="shared" si="3"/>
        <v>112.70897832817336</v>
      </c>
      <c r="O47" s="18">
        <f t="shared" si="4"/>
        <v>0</v>
      </c>
      <c r="P47" s="19">
        <f t="shared" si="5"/>
        <v>-4.9380804953560471</v>
      </c>
      <c r="Q47" s="20">
        <f t="shared" si="6"/>
        <v>0.95802631578947361</v>
      </c>
      <c r="R47" s="170">
        <f>Q54</f>
        <v>0.96129272348853501</v>
      </c>
      <c r="S47" s="27">
        <v>0.20833333333333334</v>
      </c>
      <c r="T47" s="27">
        <v>0.26111111111111113</v>
      </c>
      <c r="U47" s="27"/>
      <c r="V47" s="21">
        <f t="shared" ref="V47:V53" si="37">(T47-S47)*24*60</f>
        <v>76.000000000000014</v>
      </c>
      <c r="W47" s="27"/>
      <c r="X47" s="27"/>
      <c r="Y47" s="27"/>
      <c r="Z47" s="27"/>
      <c r="AA47" s="162"/>
      <c r="AB47" s="162"/>
      <c r="AC47" s="24">
        <v>7</v>
      </c>
      <c r="AD47" s="24"/>
      <c r="AE47" s="18">
        <f t="shared" si="8"/>
        <v>-83.947368421052943</v>
      </c>
      <c r="AF47" s="20">
        <f t="shared" si="9"/>
        <v>0.9580263157894735</v>
      </c>
      <c r="AG47" s="170">
        <f>AF54</f>
        <v>0.96129272348853512</v>
      </c>
    </row>
    <row r="48" spans="1:33" ht="15.75" customHeight="1">
      <c r="A48" s="178" t="s">
        <v>73</v>
      </c>
      <c r="B48" s="35" t="s">
        <v>78</v>
      </c>
      <c r="C48" s="163" t="s">
        <v>115</v>
      </c>
      <c r="D48" s="163"/>
      <c r="E48" s="35">
        <v>56.43</v>
      </c>
      <c r="F48" s="38">
        <v>1545</v>
      </c>
      <c r="G48" s="4">
        <f t="shared" si="35"/>
        <v>87184.35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>F48/V48*60</f>
        <v>1931.2500000000005</v>
      </c>
      <c r="N48" s="17">
        <f t="shared" si="3"/>
        <v>87.784090909090935</v>
      </c>
      <c r="O48" s="18">
        <f t="shared" si="4"/>
        <v>0</v>
      </c>
      <c r="P48" s="19">
        <f t="shared" si="5"/>
        <v>-3.1249999999999716</v>
      </c>
      <c r="Q48" s="20">
        <f t="shared" si="6"/>
        <v>0.96562500000000029</v>
      </c>
      <c r="R48" s="170"/>
      <c r="S48" s="27">
        <v>0.26597222222222222</v>
      </c>
      <c r="T48" s="27">
        <v>0.29930555555555555</v>
      </c>
      <c r="U48" s="4">
        <f t="shared" ref="U48:U53" si="38">IF(S48=TIME(17,0,0),"",(S48-T47)*24*60)</f>
        <v>6.9999999999999751</v>
      </c>
      <c r="V48" s="21">
        <f t="shared" si="37"/>
        <v>47.999999999999986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-68.749999999999545</v>
      </c>
      <c r="AF48" s="20">
        <f t="shared" si="9"/>
        <v>0.96562500000000018</v>
      </c>
      <c r="AG48" s="170"/>
    </row>
    <row r="49" spans="1:33" ht="15.75" customHeight="1">
      <c r="A49" s="178" t="s">
        <v>73</v>
      </c>
      <c r="B49" s="35" t="s">
        <v>78</v>
      </c>
      <c r="C49" s="174" t="s">
        <v>116</v>
      </c>
      <c r="D49" s="175"/>
      <c r="E49" s="35">
        <v>51.75</v>
      </c>
      <c r="F49" s="38">
        <v>1092</v>
      </c>
      <c r="G49" s="4">
        <f t="shared" si="35"/>
        <v>56511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ref="M49:M53" si="39">F49/V49*60</f>
        <v>1927.0588235294142</v>
      </c>
      <c r="N49" s="17">
        <f t="shared" si="3"/>
        <v>77.082352941176566</v>
      </c>
      <c r="O49" s="18">
        <f t="shared" si="4"/>
        <v>0</v>
      </c>
      <c r="P49" s="19">
        <f t="shared" si="5"/>
        <v>-2.9176470588234338</v>
      </c>
      <c r="Q49" s="20">
        <f t="shared" si="6"/>
        <v>0.96352941176470708</v>
      </c>
      <c r="R49" s="170"/>
      <c r="S49" s="27">
        <v>0.30277777777777776</v>
      </c>
      <c r="T49" s="27">
        <v>0.32638888888888884</v>
      </c>
      <c r="U49" s="4">
        <f t="shared" si="38"/>
        <v>4.9999999999999822</v>
      </c>
      <c r="V49" s="21">
        <f t="shared" si="37"/>
        <v>33.999999999999957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-72.941176470585788</v>
      </c>
      <c r="AF49" s="20">
        <f t="shared" si="9"/>
        <v>0.96352941176470708</v>
      </c>
      <c r="AG49" s="170"/>
    </row>
    <row r="50" spans="1:33" ht="15.75" customHeight="1">
      <c r="A50" s="178" t="s">
        <v>2209</v>
      </c>
      <c r="B50" s="35" t="s">
        <v>78</v>
      </c>
      <c r="C50" s="39" t="s">
        <v>118</v>
      </c>
      <c r="D50" s="40"/>
      <c r="E50" s="35">
        <v>57.73</v>
      </c>
      <c r="F50" s="38">
        <v>1071</v>
      </c>
      <c r="G50" s="4">
        <f t="shared" si="35"/>
        <v>61828.829999999994</v>
      </c>
      <c r="H50" s="21" t="s">
        <v>133</v>
      </c>
      <c r="I50" s="15">
        <v>16</v>
      </c>
      <c r="J50" s="17">
        <v>1500</v>
      </c>
      <c r="K50" s="16">
        <f t="shared" si="1"/>
        <v>93.75</v>
      </c>
      <c r="L50" s="15">
        <v>16</v>
      </c>
      <c r="M50" s="17">
        <f t="shared" si="39"/>
        <v>1428</v>
      </c>
      <c r="N50" s="17">
        <f t="shared" si="3"/>
        <v>89.25</v>
      </c>
      <c r="O50" s="18">
        <f t="shared" si="4"/>
        <v>0</v>
      </c>
      <c r="P50" s="19">
        <f t="shared" si="5"/>
        <v>-4.5</v>
      </c>
      <c r="Q50" s="20">
        <f t="shared" si="6"/>
        <v>0.95199999999999996</v>
      </c>
      <c r="R50" s="170"/>
      <c r="S50" s="27">
        <v>0.70833333333333337</v>
      </c>
      <c r="T50" s="27">
        <v>0.73958333333333337</v>
      </c>
      <c r="U50" s="4" t="str">
        <f t="shared" si="38"/>
        <v/>
      </c>
      <c r="V50" s="21">
        <f t="shared" si="37"/>
        <v>45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-72</v>
      </c>
      <c r="AF50" s="20">
        <f t="shared" si="9"/>
        <v>0.95199999999999996</v>
      </c>
      <c r="AG50" s="170"/>
    </row>
    <row r="51" spans="1:33" ht="15.75" customHeight="1">
      <c r="A51" s="178" t="s">
        <v>73</v>
      </c>
      <c r="B51" s="35" t="s">
        <v>78</v>
      </c>
      <c r="C51" s="39" t="s">
        <v>119</v>
      </c>
      <c r="D51" s="40"/>
      <c r="E51" s="35">
        <v>54.29</v>
      </c>
      <c r="F51" s="38">
        <v>1162</v>
      </c>
      <c r="G51" s="4">
        <f t="shared" si="35"/>
        <v>63084.979999999996</v>
      </c>
      <c r="H51" s="21" t="s">
        <v>133</v>
      </c>
      <c r="I51" s="15">
        <v>20</v>
      </c>
      <c r="J51" s="17">
        <v>2000</v>
      </c>
      <c r="K51" s="16">
        <f t="shared" si="1"/>
        <v>100</v>
      </c>
      <c r="L51" s="15">
        <v>20</v>
      </c>
      <c r="M51" s="17">
        <f t="shared" si="39"/>
        <v>1936.6666666666649</v>
      </c>
      <c r="N51" s="17">
        <f t="shared" si="3"/>
        <v>96.833333333333243</v>
      </c>
      <c r="O51" s="18">
        <f t="shared" si="4"/>
        <v>0</v>
      </c>
      <c r="P51" s="19">
        <f t="shared" si="5"/>
        <v>-3.1666666666667567</v>
      </c>
      <c r="Q51" s="20">
        <f t="shared" si="6"/>
        <v>0.96833333333333238</v>
      </c>
      <c r="R51" s="170"/>
      <c r="S51" s="27">
        <v>0.74513888888888891</v>
      </c>
      <c r="T51" s="27">
        <v>0.77013888888888893</v>
      </c>
      <c r="U51" s="4">
        <f t="shared" si="38"/>
        <v>7.9999999999999716</v>
      </c>
      <c r="V51" s="21">
        <f t="shared" si="37"/>
        <v>36.000000000000028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-63.333333333335077</v>
      </c>
      <c r="AF51" s="20">
        <f t="shared" si="9"/>
        <v>0.96833333333333249</v>
      </c>
      <c r="AG51" s="170"/>
    </row>
    <row r="52" spans="1:33" ht="15.75" customHeight="1">
      <c r="A52" s="178" t="s">
        <v>73</v>
      </c>
      <c r="B52" s="35" t="s">
        <v>78</v>
      </c>
      <c r="C52" s="174" t="s">
        <v>120</v>
      </c>
      <c r="D52" s="175"/>
      <c r="E52" s="35">
        <v>55.56</v>
      </c>
      <c r="F52" s="38">
        <v>1860</v>
      </c>
      <c r="G52" s="4">
        <f t="shared" si="35"/>
        <v>103341.6</v>
      </c>
      <c r="H52" s="21" t="s">
        <v>133</v>
      </c>
      <c r="I52" s="15">
        <v>17</v>
      </c>
      <c r="J52" s="17">
        <v>2000</v>
      </c>
      <c r="K52" s="16">
        <f t="shared" si="1"/>
        <v>117.64705882352941</v>
      </c>
      <c r="L52" s="15">
        <v>17</v>
      </c>
      <c r="M52" s="17">
        <f t="shared" si="39"/>
        <v>1924.1379310344842</v>
      </c>
      <c r="N52" s="17">
        <f t="shared" si="3"/>
        <v>113.18458417849907</v>
      </c>
      <c r="O52" s="18">
        <f t="shared" si="4"/>
        <v>0</v>
      </c>
      <c r="P52" s="19">
        <f t="shared" si="5"/>
        <v>-4.4624746450303405</v>
      </c>
      <c r="Q52" s="20">
        <f t="shared" si="6"/>
        <v>0.96206896551724208</v>
      </c>
      <c r="R52" s="170"/>
      <c r="S52" s="27">
        <v>0.77430555555555558</v>
      </c>
      <c r="T52" s="27">
        <v>0.81458333333333333</v>
      </c>
      <c r="U52" s="4">
        <f t="shared" si="38"/>
        <v>5.9999999999999787</v>
      </c>
      <c r="V52" s="21">
        <f t="shared" si="37"/>
        <v>57.999999999999957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-75.862068965515846</v>
      </c>
      <c r="AF52" s="20">
        <f t="shared" si="9"/>
        <v>0.96206896551724208</v>
      </c>
      <c r="AG52" s="170"/>
    </row>
    <row r="53" spans="1:33" ht="15.75" customHeight="1">
      <c r="A53" s="178" t="s">
        <v>73</v>
      </c>
      <c r="B53" s="35" t="s">
        <v>78</v>
      </c>
      <c r="C53" s="174" t="s">
        <v>121</v>
      </c>
      <c r="D53" s="175"/>
      <c r="E53" s="35">
        <v>55.32</v>
      </c>
      <c r="F53" s="38">
        <v>1340</v>
      </c>
      <c r="G53" s="4">
        <f t="shared" si="35"/>
        <v>74128.800000000003</v>
      </c>
      <c r="H53" s="21" t="s">
        <v>133</v>
      </c>
      <c r="I53" s="15">
        <v>15</v>
      </c>
      <c r="J53" s="17">
        <v>2000</v>
      </c>
      <c r="K53" s="16">
        <f t="shared" si="1"/>
        <v>133.33333333333334</v>
      </c>
      <c r="L53" s="15">
        <v>15</v>
      </c>
      <c r="M53" s="17">
        <f t="shared" si="39"/>
        <v>1914.2857142857138</v>
      </c>
      <c r="N53" s="17">
        <f t="shared" si="3"/>
        <v>127.61904761904758</v>
      </c>
      <c r="O53" s="18">
        <f t="shared" si="4"/>
        <v>0</v>
      </c>
      <c r="P53" s="19">
        <f t="shared" si="5"/>
        <v>-5.714285714285765</v>
      </c>
      <c r="Q53" s="20">
        <f t="shared" si="6"/>
        <v>0.95714285714285674</v>
      </c>
      <c r="R53" s="170"/>
      <c r="S53" s="27">
        <v>0.81874999999999998</v>
      </c>
      <c r="T53" s="27">
        <v>0.84791666666666665</v>
      </c>
      <c r="U53" s="4">
        <f t="shared" si="38"/>
        <v>5.9999999999999787</v>
      </c>
      <c r="V53" s="21">
        <f t="shared" si="37"/>
        <v>42.000000000000014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-85.714285714286234</v>
      </c>
      <c r="AF53" s="20">
        <f t="shared" si="9"/>
        <v>0.95714285714285685</v>
      </c>
      <c r="AG53" s="170"/>
    </row>
    <row r="54" spans="1:33">
      <c r="A54" s="179" t="s">
        <v>73</v>
      </c>
      <c r="B54" s="35" t="s">
        <v>48</v>
      </c>
      <c r="C54" s="171"/>
      <c r="D54" s="171"/>
      <c r="E54" s="36"/>
      <c r="F54" s="16"/>
      <c r="G54" s="16"/>
      <c r="H54" s="4"/>
      <c r="I54" s="29">
        <v>18.857142857142858</v>
      </c>
      <c r="J54" s="17">
        <v>1928.5714285714287</v>
      </c>
      <c r="K54" s="16">
        <f t="shared" si="1"/>
        <v>102.27272727272728</v>
      </c>
      <c r="L54" s="29">
        <v>18.857142857142858</v>
      </c>
      <c r="M54" s="17">
        <f>AVERAGE(M47:M53)</f>
        <v>1853.9216810136036</v>
      </c>
      <c r="N54" s="16">
        <f t="shared" si="3"/>
        <v>98.314028538600184</v>
      </c>
      <c r="O54" s="18">
        <f t="shared" si="4"/>
        <v>0</v>
      </c>
      <c r="P54" s="19">
        <f t="shared" si="5"/>
        <v>-3.9586987341270969</v>
      </c>
      <c r="Q54" s="20">
        <f t="shared" si="6"/>
        <v>0.96129272348853501</v>
      </c>
      <c r="R54" s="170"/>
      <c r="S54" s="27"/>
      <c r="T54" s="27"/>
      <c r="U54" s="4"/>
      <c r="V54" s="21"/>
      <c r="W54" s="16"/>
      <c r="X54" s="16"/>
      <c r="Y54" s="30">
        <f>SUM(Y47:Y53)</f>
        <v>0</v>
      </c>
      <c r="Z54" s="30">
        <f>SUM(Z47:Z53)</f>
        <v>0</v>
      </c>
      <c r="AA54" s="166"/>
      <c r="AB54" s="166"/>
      <c r="AC54" s="30">
        <v>7</v>
      </c>
      <c r="AD54" s="30">
        <f>SUM(AD47:AD53)</f>
        <v>0</v>
      </c>
      <c r="AE54" s="18">
        <f>M54-J54</f>
        <v>-74.649747557825094</v>
      </c>
      <c r="AF54" s="20">
        <f t="shared" si="9"/>
        <v>0.96129272348853512</v>
      </c>
      <c r="AG54" s="170"/>
    </row>
    <row r="55" spans="1:33" ht="15.75" customHeight="1">
      <c r="A55" s="172" t="s">
        <v>297</v>
      </c>
      <c r="B55" s="4" t="s">
        <v>108</v>
      </c>
      <c r="C55" s="163" t="s">
        <v>125</v>
      </c>
      <c r="D55" s="163"/>
      <c r="E55" s="35">
        <v>37.85</v>
      </c>
      <c r="F55" s="38">
        <v>1478</v>
      </c>
      <c r="G55" s="4">
        <f t="shared" ref="G55:G59" si="40">E55*F55</f>
        <v>55942.3</v>
      </c>
      <c r="H55" s="21" t="s">
        <v>133</v>
      </c>
      <c r="I55" s="15">
        <v>12</v>
      </c>
      <c r="J55" s="17">
        <v>2000</v>
      </c>
      <c r="K55" s="16">
        <f t="shared" si="1"/>
        <v>166.66666666666666</v>
      </c>
      <c r="L55" s="15">
        <v>12</v>
      </c>
      <c r="M55" s="17">
        <f t="shared" ref="M55:M59" si="41">F55/V55*60</f>
        <v>1927.8260869565217</v>
      </c>
      <c r="N55" s="16">
        <f t="shared" si="3"/>
        <v>160.65217391304347</v>
      </c>
      <c r="O55" s="18">
        <f t="shared" si="4"/>
        <v>0</v>
      </c>
      <c r="P55" s="19">
        <f t="shared" si="5"/>
        <v>-6.0144927536231876</v>
      </c>
      <c r="Q55" s="20">
        <f t="shared" si="6"/>
        <v>0.9639130434782609</v>
      </c>
      <c r="R55" s="170">
        <f>Q60</f>
        <v>0.95663667061027291</v>
      </c>
      <c r="S55" s="27">
        <v>0.20833333333333334</v>
      </c>
      <c r="T55" s="27">
        <v>0.24027777777777778</v>
      </c>
      <c r="U55" s="4"/>
      <c r="V55" s="21">
        <f t="shared" ref="V55:V59" si="42">(T55-S55)*24*60</f>
        <v>46</v>
      </c>
      <c r="W55" s="27"/>
      <c r="X55" s="27"/>
      <c r="Y55" s="27"/>
      <c r="Z55" s="27"/>
      <c r="AA55" s="162"/>
      <c r="AB55" s="162"/>
      <c r="AC55" s="24">
        <v>5</v>
      </c>
      <c r="AD55" s="24"/>
      <c r="AE55" s="18">
        <f t="shared" ref="AE55:AE67" si="43">M55-J55</f>
        <v>-72.173913043478251</v>
      </c>
      <c r="AF55" s="20">
        <f t="shared" si="9"/>
        <v>0.9639130434782609</v>
      </c>
      <c r="AG55" s="170">
        <f>AF60</f>
        <v>0.95663667061027302</v>
      </c>
    </row>
    <row r="56" spans="1:33" ht="15.75" customHeight="1">
      <c r="A56" s="172" t="s">
        <v>297</v>
      </c>
      <c r="B56" s="4" t="s">
        <v>108</v>
      </c>
      <c r="C56" s="163" t="s">
        <v>126</v>
      </c>
      <c r="D56" s="163"/>
      <c r="E56" s="35">
        <v>34.36</v>
      </c>
      <c r="F56" s="38">
        <v>2162</v>
      </c>
      <c r="G56" s="4">
        <f t="shared" si="40"/>
        <v>74286.319999999992</v>
      </c>
      <c r="H56" s="21" t="s">
        <v>133</v>
      </c>
      <c r="I56" s="15">
        <v>10</v>
      </c>
      <c r="J56" s="17">
        <v>3000</v>
      </c>
      <c r="K56" s="16">
        <f t="shared" si="1"/>
        <v>300</v>
      </c>
      <c r="L56" s="15">
        <v>10</v>
      </c>
      <c r="M56" s="17">
        <f t="shared" si="41"/>
        <v>2882.6666666666665</v>
      </c>
      <c r="N56" s="16">
        <f t="shared" si="3"/>
        <v>288.26666666666665</v>
      </c>
      <c r="O56" s="18">
        <f t="shared" si="4"/>
        <v>0</v>
      </c>
      <c r="P56" s="19">
        <f t="shared" si="5"/>
        <v>-11.733333333333348</v>
      </c>
      <c r="Q56" s="20">
        <f t="shared" si="6"/>
        <v>0.96088888888888879</v>
      </c>
      <c r="R56" s="170"/>
      <c r="S56" s="27">
        <v>0.24513888888888891</v>
      </c>
      <c r="T56" s="27">
        <v>0.27638888888888891</v>
      </c>
      <c r="U56" s="4">
        <f t="shared" ref="U56:U59" si="44">(S56-T55)*24*60</f>
        <v>7.0000000000000151</v>
      </c>
      <c r="V56" s="21">
        <f t="shared" si="42"/>
        <v>45</v>
      </c>
      <c r="W56" s="4"/>
      <c r="X56" s="4"/>
      <c r="Y56" s="4"/>
      <c r="Z56" s="4"/>
      <c r="AA56" s="162"/>
      <c r="AB56" s="162"/>
      <c r="AC56" s="24"/>
      <c r="AD56" s="24"/>
      <c r="AE56" s="18">
        <f t="shared" si="43"/>
        <v>-117.33333333333348</v>
      </c>
      <c r="AF56" s="20">
        <f t="shared" si="9"/>
        <v>0.96088888888888879</v>
      </c>
      <c r="AG56" s="170"/>
    </row>
    <row r="57" spans="1:33" ht="15.75" customHeight="1">
      <c r="A57" s="172" t="s">
        <v>2210</v>
      </c>
      <c r="B57" s="4" t="s">
        <v>108</v>
      </c>
      <c r="C57" s="163" t="s">
        <v>127</v>
      </c>
      <c r="D57" s="163"/>
      <c r="E57" s="35">
        <v>35.119999999999997</v>
      </c>
      <c r="F57" s="38">
        <v>5352</v>
      </c>
      <c r="G57" s="4">
        <f t="shared" si="40"/>
        <v>187962.23999999999</v>
      </c>
      <c r="H57" s="21" t="s">
        <v>133</v>
      </c>
      <c r="I57" s="15">
        <v>10</v>
      </c>
      <c r="J57" s="17">
        <v>3000</v>
      </c>
      <c r="K57" s="16">
        <f t="shared" si="1"/>
        <v>300</v>
      </c>
      <c r="L57" s="15">
        <v>10</v>
      </c>
      <c r="M57" s="17">
        <f t="shared" si="41"/>
        <v>2867.1428571428569</v>
      </c>
      <c r="N57" s="16">
        <f t="shared" si="3"/>
        <v>286.71428571428567</v>
      </c>
      <c r="O57" s="18">
        <f t="shared" si="4"/>
        <v>0</v>
      </c>
      <c r="P57" s="19">
        <f t="shared" si="5"/>
        <v>-13.285714285714334</v>
      </c>
      <c r="Q57" s="20">
        <f t="shared" si="6"/>
        <v>0.95571428571428552</v>
      </c>
      <c r="R57" s="170"/>
      <c r="S57" s="27">
        <v>0.28194444444444444</v>
      </c>
      <c r="T57" s="27">
        <v>0.35972222222222222</v>
      </c>
      <c r="U57" s="4">
        <f t="shared" si="44"/>
        <v>7.9999999999999716</v>
      </c>
      <c r="V57" s="21">
        <f t="shared" si="42"/>
        <v>112</v>
      </c>
      <c r="W57" s="4"/>
      <c r="X57" s="4"/>
      <c r="Y57" s="4"/>
      <c r="Z57" s="4"/>
      <c r="AA57" s="162"/>
      <c r="AB57" s="162"/>
      <c r="AC57" s="24"/>
      <c r="AD57" s="24"/>
      <c r="AE57" s="18">
        <f t="shared" si="43"/>
        <v>-132.85714285714312</v>
      </c>
      <c r="AF57" s="20">
        <f t="shared" si="9"/>
        <v>0.95571428571428563</v>
      </c>
      <c r="AG57" s="170"/>
    </row>
    <row r="58" spans="1:33" ht="15.75" customHeight="1">
      <c r="A58" s="172" t="s">
        <v>297</v>
      </c>
      <c r="B58" s="4" t="s">
        <v>108</v>
      </c>
      <c r="C58" s="163" t="s">
        <v>109</v>
      </c>
      <c r="D58" s="163"/>
      <c r="E58" s="35">
        <v>34.36</v>
      </c>
      <c r="F58" s="38">
        <v>1905</v>
      </c>
      <c r="G58" s="4">
        <f t="shared" si="40"/>
        <v>65455.799999999996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1"/>
        <v>2857.4999999999991</v>
      </c>
      <c r="N58" s="16">
        <f t="shared" si="3"/>
        <v>285.74999999999989</v>
      </c>
      <c r="O58" s="18">
        <f t="shared" si="4"/>
        <v>0</v>
      </c>
      <c r="P58" s="19">
        <f t="shared" si="5"/>
        <v>-14.250000000000114</v>
      </c>
      <c r="Q58" s="20">
        <f t="shared" si="6"/>
        <v>0.95249999999999957</v>
      </c>
      <c r="R58" s="170"/>
      <c r="S58" s="27">
        <v>0.36458333333333331</v>
      </c>
      <c r="T58" s="27">
        <v>0.3923611111111111</v>
      </c>
      <c r="U58" s="4">
        <f t="shared" si="44"/>
        <v>6.9999999999999751</v>
      </c>
      <c r="V58" s="21">
        <f t="shared" si="42"/>
        <v>40.000000000000014</v>
      </c>
      <c r="W58" s="4"/>
      <c r="X58" s="4"/>
      <c r="Y58" s="4"/>
      <c r="Z58" s="4"/>
      <c r="AA58" s="162"/>
      <c r="AB58" s="162"/>
      <c r="AC58" s="24"/>
      <c r="AD58" s="24"/>
      <c r="AE58" s="18">
        <f t="shared" si="43"/>
        <v>-142.50000000000091</v>
      </c>
      <c r="AF58" s="20">
        <f t="shared" si="9"/>
        <v>0.95249999999999968</v>
      </c>
      <c r="AG58" s="170"/>
    </row>
    <row r="59" spans="1:33">
      <c r="A59" s="173" t="s">
        <v>297</v>
      </c>
      <c r="B59" s="4" t="s">
        <v>108</v>
      </c>
      <c r="C59" s="163" t="s">
        <v>110</v>
      </c>
      <c r="D59" s="163"/>
      <c r="E59" s="35">
        <v>26.78</v>
      </c>
      <c r="F59" s="38">
        <v>2572</v>
      </c>
      <c r="G59" s="4">
        <f t="shared" si="40"/>
        <v>68878.16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1"/>
        <v>2857.7777777777792</v>
      </c>
      <c r="N59" s="16">
        <f t="shared" si="3"/>
        <v>285.77777777777794</v>
      </c>
      <c r="O59" s="18">
        <f t="shared" si="4"/>
        <v>0</v>
      </c>
      <c r="P59" s="19">
        <f t="shared" si="5"/>
        <v>-14.222222222222058</v>
      </c>
      <c r="Q59" s="20">
        <f t="shared" si="6"/>
        <v>0.9525925925925931</v>
      </c>
      <c r="R59" s="170"/>
      <c r="S59" s="27">
        <v>0.3972222222222222</v>
      </c>
      <c r="T59" s="27">
        <v>0.43472222222222218</v>
      </c>
      <c r="U59" s="4">
        <f t="shared" si="44"/>
        <v>6.9999999999999751</v>
      </c>
      <c r="V59" s="21">
        <f t="shared" si="42"/>
        <v>53.999999999999972</v>
      </c>
      <c r="W59" s="22"/>
      <c r="X59" s="22"/>
      <c r="Y59" s="22"/>
      <c r="Z59" s="22"/>
      <c r="AA59" s="162"/>
      <c r="AB59" s="162"/>
      <c r="AC59" s="24"/>
      <c r="AD59" s="24"/>
      <c r="AE59" s="18">
        <f t="shared" si="43"/>
        <v>-142.22222222222081</v>
      </c>
      <c r="AF59" s="20">
        <f t="shared" si="9"/>
        <v>0.9525925925925931</v>
      </c>
      <c r="AG59" s="170"/>
    </row>
    <row r="60" spans="1:33">
      <c r="A60" s="173" t="s">
        <v>297</v>
      </c>
      <c r="B60" s="35" t="s">
        <v>2208</v>
      </c>
      <c r="C60" s="171"/>
      <c r="D60" s="171"/>
      <c r="E60" s="36"/>
      <c r="F60" s="16"/>
      <c r="G60" s="16"/>
      <c r="H60" s="4"/>
      <c r="I60" s="29">
        <v>10.4</v>
      </c>
      <c r="J60" s="17">
        <v>2800</v>
      </c>
      <c r="K60" s="16">
        <f t="shared" si="1"/>
        <v>269.23076923076923</v>
      </c>
      <c r="L60" s="29">
        <v>10.4</v>
      </c>
      <c r="M60" s="17">
        <f>AVERAGE(M55:M59)</f>
        <v>2678.5826777087645</v>
      </c>
      <c r="N60" s="16">
        <f t="shared" si="3"/>
        <v>257.55602670276579</v>
      </c>
      <c r="O60" s="18">
        <f t="shared" si="4"/>
        <v>0</v>
      </c>
      <c r="P60" s="19">
        <f t="shared" si="5"/>
        <v>-11.674742528003435</v>
      </c>
      <c r="Q60" s="20">
        <f t="shared" si="6"/>
        <v>0.95663667061027291</v>
      </c>
      <c r="R60" s="170"/>
      <c r="S60" s="27"/>
      <c r="T60" s="27"/>
      <c r="U60" s="16"/>
      <c r="V60" s="21"/>
      <c r="W60" s="16"/>
      <c r="X60" s="16"/>
      <c r="Y60" s="30">
        <f>SUM(Y55:Y59)</f>
        <v>0</v>
      </c>
      <c r="Z60" s="30">
        <f>SUM(Z55:Z59)</f>
        <v>0</v>
      </c>
      <c r="AA60" s="166"/>
      <c r="AB60" s="166"/>
      <c r="AC60" s="30">
        <v>5</v>
      </c>
      <c r="AD60" s="30">
        <f>SUM(AD55:AD59)</f>
        <v>0</v>
      </c>
      <c r="AE60" s="18">
        <f t="shared" si="43"/>
        <v>-121.41732229123545</v>
      </c>
      <c r="AF60" s="20">
        <f t="shared" si="9"/>
        <v>0.95663667061027302</v>
      </c>
      <c r="AG60" s="170"/>
    </row>
    <row r="61" spans="1:33" ht="15.75" customHeight="1">
      <c r="A61" s="167" t="s">
        <v>75</v>
      </c>
      <c r="B61" s="4" t="s">
        <v>97</v>
      </c>
      <c r="C61" s="163" t="s">
        <v>128</v>
      </c>
      <c r="D61" s="163"/>
      <c r="E61" s="35">
        <v>20.2</v>
      </c>
      <c r="F61" s="4">
        <v>2220</v>
      </c>
      <c r="G61" s="4">
        <f t="shared" ref="G61:G66" si="45">E61*F61</f>
        <v>44844</v>
      </c>
      <c r="H61" s="21" t="s">
        <v>133</v>
      </c>
      <c r="I61" s="15">
        <v>15</v>
      </c>
      <c r="J61" s="17">
        <v>2400</v>
      </c>
      <c r="K61" s="16">
        <f t="shared" si="1"/>
        <v>160</v>
      </c>
      <c r="L61" s="15">
        <v>15</v>
      </c>
      <c r="M61" s="17">
        <f t="shared" ref="M61:M66" si="46">F61/V61*60</f>
        <v>2296.5517241379307</v>
      </c>
      <c r="N61" s="16">
        <f t="shared" si="3"/>
        <v>153.10344827586204</v>
      </c>
      <c r="O61" s="18">
        <f t="shared" si="4"/>
        <v>0</v>
      </c>
      <c r="P61" s="19">
        <f t="shared" si="5"/>
        <v>-6.8965517241379644</v>
      </c>
      <c r="Q61" s="20">
        <f t="shared" si="6"/>
        <v>0.95689655172413768</v>
      </c>
      <c r="R61" s="170">
        <f>Q67</f>
        <v>0.95601546372071455</v>
      </c>
      <c r="S61" s="27">
        <v>8.3333333333333329E-2</v>
      </c>
      <c r="T61" s="27">
        <v>0.12361111111111112</v>
      </c>
      <c r="U61" s="27"/>
      <c r="V61" s="21">
        <f t="shared" ref="V61:V66" si="47">(T61-S61)*24*60</f>
        <v>58.000000000000014</v>
      </c>
      <c r="W61" s="22">
        <f>T61</f>
        <v>0.12361111111111112</v>
      </c>
      <c r="X61" s="22">
        <f>S62</f>
        <v>0.14305555555555557</v>
      </c>
      <c r="Y61" s="22"/>
      <c r="Z61" s="22"/>
      <c r="AA61" s="162"/>
      <c r="AB61" s="162"/>
      <c r="AC61" s="24">
        <v>6</v>
      </c>
      <c r="AD61" s="24"/>
      <c r="AE61" s="18">
        <f t="shared" si="43"/>
        <v>-103.44827586206929</v>
      </c>
      <c r="AF61" s="20">
        <f t="shared" si="9"/>
        <v>0.95689655172413779</v>
      </c>
      <c r="AG61" s="170">
        <f>AF67</f>
        <v>0.95601546372071444</v>
      </c>
    </row>
    <row r="62" spans="1:33" ht="15.75" customHeight="1">
      <c r="A62" s="168" t="s">
        <v>75</v>
      </c>
      <c r="B62" s="4" t="s">
        <v>97</v>
      </c>
      <c r="C62" s="163" t="s">
        <v>129</v>
      </c>
      <c r="D62" s="163"/>
      <c r="E62" s="35">
        <v>24.45</v>
      </c>
      <c r="F62" s="4">
        <v>2609</v>
      </c>
      <c r="G62" s="4">
        <f t="shared" si="45"/>
        <v>63790.049999999996</v>
      </c>
      <c r="H62" s="21" t="s">
        <v>133</v>
      </c>
      <c r="I62" s="15">
        <v>19</v>
      </c>
      <c r="J62" s="17">
        <v>2400</v>
      </c>
      <c r="K62" s="16">
        <f t="shared" si="1"/>
        <v>126.31578947368421</v>
      </c>
      <c r="L62" s="15">
        <v>19</v>
      </c>
      <c r="M62" s="17">
        <f t="shared" si="46"/>
        <v>2302.0588235294117</v>
      </c>
      <c r="N62" s="16">
        <f t="shared" si="3"/>
        <v>121.16099071207429</v>
      </c>
      <c r="O62" s="18">
        <f t="shared" si="4"/>
        <v>0</v>
      </c>
      <c r="P62" s="19">
        <f t="shared" si="5"/>
        <v>-5.1547987616099107</v>
      </c>
      <c r="Q62" s="20">
        <f t="shared" si="6"/>
        <v>0.95919117647058816</v>
      </c>
      <c r="R62" s="170"/>
      <c r="S62" s="27">
        <v>0.14305555555555557</v>
      </c>
      <c r="T62" s="27">
        <v>0.1902777777777778</v>
      </c>
      <c r="U62" s="4">
        <f t="shared" ref="U62:U66" si="48">(S62-T61)*24*60</f>
        <v>28.000000000000021</v>
      </c>
      <c r="V62" s="21">
        <f t="shared" si="47"/>
        <v>68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3"/>
        <v>-97.941176470588289</v>
      </c>
      <c r="AF62" s="20">
        <f t="shared" si="9"/>
        <v>0.95919117647058816</v>
      </c>
      <c r="AG62" s="170"/>
    </row>
    <row r="63" spans="1:33" ht="15.75" customHeight="1">
      <c r="A63" s="168" t="s">
        <v>2211</v>
      </c>
      <c r="B63" s="4" t="s">
        <v>97</v>
      </c>
      <c r="C63" s="163" t="s">
        <v>106</v>
      </c>
      <c r="D63" s="163"/>
      <c r="E63" s="35">
        <v>20.21</v>
      </c>
      <c r="F63" s="4">
        <v>2803</v>
      </c>
      <c r="G63" s="4">
        <f t="shared" si="45"/>
        <v>56648.630000000005</v>
      </c>
      <c r="H63" s="21" t="s">
        <v>133</v>
      </c>
      <c r="I63" s="15">
        <v>15</v>
      </c>
      <c r="J63" s="17">
        <v>2400</v>
      </c>
      <c r="K63" s="16">
        <f t="shared" si="1"/>
        <v>160</v>
      </c>
      <c r="L63" s="15">
        <v>15</v>
      </c>
      <c r="M63" s="17">
        <f t="shared" si="46"/>
        <v>2303.8356164383567</v>
      </c>
      <c r="N63" s="16">
        <f t="shared" si="3"/>
        <v>153.58904109589045</v>
      </c>
      <c r="O63" s="18">
        <f t="shared" si="4"/>
        <v>0</v>
      </c>
      <c r="P63" s="19">
        <f t="shared" si="5"/>
        <v>-6.4109589041095489</v>
      </c>
      <c r="Q63" s="20">
        <f t="shared" si="6"/>
        <v>0.95993150684931527</v>
      </c>
      <c r="R63" s="170"/>
      <c r="S63" s="27">
        <v>0.19375000000000001</v>
      </c>
      <c r="T63" s="27">
        <v>0.24444444444444444</v>
      </c>
      <c r="U63" s="4">
        <f t="shared" si="48"/>
        <v>4.9999999999999822</v>
      </c>
      <c r="V63" s="21">
        <f t="shared" si="47"/>
        <v>72.999999999999986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-96.164383561643263</v>
      </c>
      <c r="AF63" s="20">
        <f t="shared" si="9"/>
        <v>0.95993150684931527</v>
      </c>
      <c r="AG63" s="170"/>
    </row>
    <row r="64" spans="1:33" ht="15.75" customHeight="1">
      <c r="A64" s="168" t="s">
        <v>75</v>
      </c>
      <c r="B64" s="4" t="s">
        <v>97</v>
      </c>
      <c r="C64" s="163" t="s">
        <v>130</v>
      </c>
      <c r="D64" s="163"/>
      <c r="E64" s="35">
        <v>24.43</v>
      </c>
      <c r="F64" s="4">
        <v>6590</v>
      </c>
      <c r="G64" s="4">
        <f t="shared" si="45"/>
        <v>160993.70000000001</v>
      </c>
      <c r="H64" s="21" t="s">
        <v>133</v>
      </c>
      <c r="I64" s="15">
        <v>14</v>
      </c>
      <c r="J64" s="17">
        <v>2400</v>
      </c>
      <c r="K64" s="16">
        <f t="shared" si="1"/>
        <v>171.42857142857142</v>
      </c>
      <c r="L64" s="15">
        <v>14</v>
      </c>
      <c r="M64" s="17">
        <f t="shared" si="46"/>
        <v>2285.5491329479773</v>
      </c>
      <c r="N64" s="16">
        <f t="shared" si="3"/>
        <v>163.2535094962841</v>
      </c>
      <c r="O64" s="18">
        <f t="shared" si="4"/>
        <v>0</v>
      </c>
      <c r="P64" s="19">
        <f t="shared" si="5"/>
        <v>-8.1750619322873206</v>
      </c>
      <c r="Q64" s="20">
        <f t="shared" si="6"/>
        <v>0.95231213872832399</v>
      </c>
      <c r="R64" s="170"/>
      <c r="S64" s="27">
        <v>0.24791666666666665</v>
      </c>
      <c r="T64" s="27">
        <v>0.36805555555555552</v>
      </c>
      <c r="U64" s="4">
        <f t="shared" si="48"/>
        <v>4.9999999999999822</v>
      </c>
      <c r="V64" s="21">
        <f t="shared" si="47"/>
        <v>172.99999999999997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3"/>
        <v>-114.45086705202266</v>
      </c>
      <c r="AF64" s="20">
        <f t="shared" si="9"/>
        <v>0.95231213872832388</v>
      </c>
      <c r="AG64" s="170"/>
    </row>
    <row r="65" spans="1:33" ht="15.75" customHeight="1">
      <c r="A65" s="168" t="s">
        <v>2211</v>
      </c>
      <c r="B65" s="4" t="s">
        <v>97</v>
      </c>
      <c r="C65" s="163" t="s">
        <v>132</v>
      </c>
      <c r="D65" s="163"/>
      <c r="E65" s="35">
        <v>19.02</v>
      </c>
      <c r="F65" s="4">
        <v>4400</v>
      </c>
      <c r="G65" s="4">
        <f t="shared" si="45"/>
        <v>83688</v>
      </c>
      <c r="H65" s="21">
        <v>2</v>
      </c>
      <c r="I65" s="15">
        <v>14</v>
      </c>
      <c r="J65" s="17">
        <v>2400</v>
      </c>
      <c r="K65" s="16">
        <f t="shared" si="1"/>
        <v>171.42857142857142</v>
      </c>
      <c r="L65" s="15">
        <v>14</v>
      </c>
      <c r="M65" s="17">
        <f t="shared" si="46"/>
        <v>2295.652173913044</v>
      </c>
      <c r="N65" s="16">
        <f t="shared" si="3"/>
        <v>163.97515527950313</v>
      </c>
      <c r="O65" s="18">
        <f t="shared" si="4"/>
        <v>0</v>
      </c>
      <c r="P65" s="19">
        <f t="shared" si="5"/>
        <v>-7.4534161490682891</v>
      </c>
      <c r="Q65" s="20">
        <f t="shared" si="6"/>
        <v>0.95652173913043492</v>
      </c>
      <c r="R65" s="170"/>
      <c r="S65" s="27">
        <v>0.37152777777777773</v>
      </c>
      <c r="T65" s="27">
        <v>0.45138888888888884</v>
      </c>
      <c r="U65" s="4">
        <f t="shared" si="48"/>
        <v>4.9999999999999822</v>
      </c>
      <c r="V65" s="21">
        <f t="shared" si="47"/>
        <v>114.99999999999999</v>
      </c>
      <c r="W65" s="22">
        <f>T65</f>
        <v>0.45138888888888884</v>
      </c>
      <c r="X65" s="22">
        <f>S66</f>
        <v>0.49305555555555547</v>
      </c>
      <c r="Y65" s="22"/>
      <c r="Z65" s="22"/>
      <c r="AA65" s="162"/>
      <c r="AB65" s="162"/>
      <c r="AC65" s="24"/>
      <c r="AD65" s="24"/>
      <c r="AE65" s="18">
        <f t="shared" si="43"/>
        <v>-104.34782608695605</v>
      </c>
      <c r="AF65" s="20">
        <f t="shared" si="9"/>
        <v>0.95652173913043503</v>
      </c>
      <c r="AG65" s="170"/>
    </row>
    <row r="66" spans="1:33" ht="15.75" customHeight="1">
      <c r="A66" s="168" t="s">
        <v>2211</v>
      </c>
      <c r="B66" s="4" t="s">
        <v>97</v>
      </c>
      <c r="C66" s="163" t="s">
        <v>132</v>
      </c>
      <c r="D66" s="163"/>
      <c r="E66" s="35">
        <v>19.02</v>
      </c>
      <c r="F66" s="4">
        <v>4604</v>
      </c>
      <c r="G66" s="4">
        <f t="shared" si="45"/>
        <v>87568.08</v>
      </c>
      <c r="H66" s="21" t="s">
        <v>133</v>
      </c>
      <c r="I66" s="15">
        <v>14</v>
      </c>
      <c r="J66" s="17">
        <v>2400</v>
      </c>
      <c r="K66" s="16">
        <f t="shared" si="1"/>
        <v>171.42857142857142</v>
      </c>
      <c r="L66" s="15">
        <v>14</v>
      </c>
      <c r="M66" s="17">
        <f t="shared" si="46"/>
        <v>2282.9752066115689</v>
      </c>
      <c r="N66" s="16">
        <f t="shared" si="3"/>
        <v>163.06965761511205</v>
      </c>
      <c r="O66" s="18">
        <f t="shared" si="4"/>
        <v>0</v>
      </c>
      <c r="P66" s="19">
        <f t="shared" si="5"/>
        <v>-8.3589138134593668</v>
      </c>
      <c r="Q66" s="20">
        <f t="shared" si="6"/>
        <v>0.95123966942148708</v>
      </c>
      <c r="R66" s="170"/>
      <c r="S66" s="27">
        <v>0.49305555555555547</v>
      </c>
      <c r="T66" s="27">
        <v>0.57708333333333328</v>
      </c>
      <c r="U66" s="4">
        <f t="shared" si="48"/>
        <v>59.999999999999943</v>
      </c>
      <c r="V66" s="21">
        <f t="shared" si="47"/>
        <v>121.00000000000006</v>
      </c>
      <c r="W66" s="22"/>
      <c r="X66" s="22"/>
      <c r="Y66" s="22"/>
      <c r="Z66" s="22"/>
      <c r="AA66" s="162"/>
      <c r="AB66" s="162"/>
      <c r="AC66" s="24"/>
      <c r="AD66" s="24"/>
      <c r="AE66" s="18">
        <f t="shared" si="43"/>
        <v>-117.02479338843114</v>
      </c>
      <c r="AF66" s="20">
        <f t="shared" si="9"/>
        <v>0.95123966942148708</v>
      </c>
      <c r="AG66" s="170"/>
    </row>
    <row r="67" spans="1:33" ht="16.5" customHeight="1">
      <c r="A67" s="169" t="s">
        <v>2211</v>
      </c>
      <c r="B67" s="35" t="s">
        <v>2208</v>
      </c>
      <c r="C67" s="164"/>
      <c r="D67" s="165"/>
      <c r="E67" s="36"/>
      <c r="F67" s="16"/>
      <c r="G67" s="16"/>
      <c r="H67" s="4"/>
      <c r="I67" s="29">
        <v>15.166666666666666</v>
      </c>
      <c r="J67" s="17">
        <v>2400</v>
      </c>
      <c r="K67" s="16">
        <f t="shared" si="1"/>
        <v>158.24175824175825</v>
      </c>
      <c r="L67" s="29">
        <v>15.166666666666666</v>
      </c>
      <c r="M67" s="17">
        <f>AVERAGE(M61:M66)</f>
        <v>2294.4371129297147</v>
      </c>
      <c r="N67" s="16">
        <f t="shared" si="3"/>
        <v>151.28156788547571</v>
      </c>
      <c r="O67" s="18">
        <f t="shared" si="4"/>
        <v>0</v>
      </c>
      <c r="P67" s="19">
        <f t="shared" si="5"/>
        <v>-6.9601903562825385</v>
      </c>
      <c r="Q67" s="20">
        <f t="shared" si="6"/>
        <v>0.95601546372071455</v>
      </c>
      <c r="R67" s="170"/>
      <c r="S67" s="27"/>
      <c r="T67" s="27"/>
      <c r="U67" s="16"/>
      <c r="V67" s="21"/>
      <c r="W67" s="16"/>
      <c r="X67" s="16"/>
      <c r="Y67" s="30">
        <f>SUM(Y61:Y66)</f>
        <v>0</v>
      </c>
      <c r="Z67" s="30">
        <f>SUM(Z61:Z66)</f>
        <v>0</v>
      </c>
      <c r="AA67" s="166"/>
      <c r="AB67" s="166"/>
      <c r="AC67" s="30">
        <v>6</v>
      </c>
      <c r="AD67" s="30">
        <f>SUM(AD61:AD66)</f>
        <v>0</v>
      </c>
      <c r="AE67" s="18">
        <f t="shared" si="43"/>
        <v>-105.56288707028534</v>
      </c>
      <c r="AF67" s="20">
        <f t="shared" si="9"/>
        <v>0.95601546372071444</v>
      </c>
      <c r="AG67" s="170"/>
    </row>
    <row r="68" spans="1:33">
      <c r="D68" s="41"/>
      <c r="E68" s="41"/>
    </row>
  </sheetData>
  <mergeCells count="187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AG26:AG32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C30:D30"/>
    <mergeCell ref="AA30:AB30"/>
    <mergeCell ref="C31:D31"/>
    <mergeCell ref="AA31:AB31"/>
    <mergeCell ref="AA25:AB25"/>
    <mergeCell ref="A26:A32"/>
    <mergeCell ref="C26:D26"/>
    <mergeCell ref="R26:R32"/>
    <mergeCell ref="AA26:AB26"/>
    <mergeCell ref="C32:D32"/>
    <mergeCell ref="AA32:AB32"/>
    <mergeCell ref="A19:A25"/>
    <mergeCell ref="C19:D19"/>
    <mergeCell ref="R19:R25"/>
    <mergeCell ref="AA19:AB19"/>
    <mergeCell ref="AA24:AB24"/>
    <mergeCell ref="C25:D25"/>
    <mergeCell ref="AG41:AG46"/>
    <mergeCell ref="C42:D42"/>
    <mergeCell ref="AA42:AB42"/>
    <mergeCell ref="C43:D43"/>
    <mergeCell ref="AA43:AB43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C44:D44"/>
    <mergeCell ref="AA44:AB44"/>
    <mergeCell ref="C45:D45"/>
    <mergeCell ref="AA45:AB45"/>
    <mergeCell ref="C46:D46"/>
    <mergeCell ref="AA46:AB46"/>
    <mergeCell ref="AA40:AB40"/>
    <mergeCell ref="A41:A46"/>
    <mergeCell ref="C41:D41"/>
    <mergeCell ref="R41:R46"/>
    <mergeCell ref="AA41:AB41"/>
    <mergeCell ref="A33:A40"/>
    <mergeCell ref="C33:D33"/>
    <mergeCell ref="R33:R40"/>
    <mergeCell ref="AA33:AB33"/>
    <mergeCell ref="AA38:AB38"/>
    <mergeCell ref="C39:D39"/>
    <mergeCell ref="AA39:AB39"/>
    <mergeCell ref="C40:D40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G55:AG60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A58:AB58"/>
    <mergeCell ref="C59:D59"/>
    <mergeCell ref="AA59:AB59"/>
    <mergeCell ref="C60:D60"/>
    <mergeCell ref="AA60:AB60"/>
    <mergeCell ref="A61:A67"/>
    <mergeCell ref="C61:D61"/>
    <mergeCell ref="R61:R67"/>
    <mergeCell ref="AA61:AB61"/>
    <mergeCell ref="AA66:AB66"/>
    <mergeCell ref="A55:A60"/>
    <mergeCell ref="C55:D55"/>
    <mergeCell ref="R55:R60"/>
    <mergeCell ref="AA55:AB55"/>
    <mergeCell ref="C67:D67"/>
    <mergeCell ref="AA67:AB67"/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</mergeCells>
  <phoneticPr fontId="3" type="noConversion"/>
  <conditionalFormatting sqref="O5:O67">
    <cfRule type="cellIs" dxfId="218" priority="9" operator="greaterThan">
      <formula>0</formula>
    </cfRule>
  </conditionalFormatting>
  <conditionalFormatting sqref="P5:P67">
    <cfRule type="cellIs" dxfId="217" priority="1" operator="lessThan">
      <formula>0</formula>
    </cfRule>
  </conditionalFormatting>
  <conditionalFormatting sqref="Q5:Q67 AF5:AF67">
    <cfRule type="cellIs" dxfId="216" priority="10" operator="greaterThan">
      <formula>1</formula>
    </cfRule>
    <cfRule type="cellIs" dxfId="215" priority="11" operator="lessThan">
      <formula>0.8</formula>
    </cfRule>
  </conditionalFormatting>
  <conditionalFormatting sqref="R5:R10 AG5:AG10">
    <cfRule type="cellIs" dxfId="214" priority="42" operator="lessThan">
      <formula>0.8</formula>
    </cfRule>
  </conditionalFormatting>
  <conditionalFormatting sqref="AE5:AE67">
    <cfRule type="cellIs" dxfId="213" priority="12" operator="lessThan">
      <formula>0</formula>
    </cfRule>
  </conditionalFormatting>
  <conditionalFormatting sqref="AG14:AG58 R14:R67">
    <cfRule type="cellIs" dxfId="212" priority="13" operator="lessThan">
      <formula>0.8</formula>
    </cfRule>
  </conditionalFormatting>
  <dataValidations count="1">
    <dataValidation type="list" allowBlank="1" showInputMessage="1" showErrorMessage="1" sqref="AB9 AA5:AB8 AB59 AB11:AB55 AA9:AA59 AA60:AB67" xr:uid="{00000000-0002-0000-0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Q32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197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198</v>
      </c>
      <c r="C3" s="151" t="str">
        <f>TEXT('0324 4度C'!A2,"yyyy.mm.ddaaaa")</f>
        <v>2026.03.24星期二</v>
      </c>
      <c r="D3" s="152"/>
      <c r="E3" s="45" t="s">
        <v>2073</v>
      </c>
      <c r="F3" s="153">
        <f>'0324 4度C'!D1</f>
        <v>165854</v>
      </c>
      <c r="G3" s="154"/>
      <c r="H3" s="45" t="s">
        <v>200</v>
      </c>
      <c r="I3" s="155">
        <f>'0324 4度C'!F1</f>
        <v>5548673.3900000006</v>
      </c>
      <c r="J3" s="156"/>
      <c r="K3" s="46"/>
      <c r="L3" s="47"/>
      <c r="M3" s="47"/>
      <c r="N3" s="47"/>
    </row>
    <row r="4" spans="2:17" ht="28.5" customHeight="1">
      <c r="B4" s="157" t="s">
        <v>201</v>
      </c>
      <c r="C4" s="143" t="s">
        <v>202</v>
      </c>
      <c r="D4" s="144"/>
      <c r="E4" s="160" t="s">
        <v>2074</v>
      </c>
      <c r="F4" s="161"/>
      <c r="G4" s="160" t="s">
        <v>2075</v>
      </c>
      <c r="H4" s="161"/>
      <c r="I4" s="160" t="s">
        <v>2076</v>
      </c>
      <c r="J4" s="161"/>
      <c r="K4" s="141" t="s">
        <v>206</v>
      </c>
      <c r="L4" s="142"/>
      <c r="M4" s="142" t="s">
        <v>416</v>
      </c>
      <c r="N4" s="142"/>
    </row>
    <row r="5" spans="2:17" ht="28.5" customHeight="1">
      <c r="B5" s="158"/>
      <c r="C5" s="143" t="s">
        <v>208</v>
      </c>
      <c r="D5" s="144"/>
      <c r="E5" s="143" t="s">
        <v>209</v>
      </c>
      <c r="F5" s="144"/>
      <c r="G5" s="145" t="s">
        <v>210</v>
      </c>
      <c r="H5" s="146"/>
      <c r="I5" s="147" t="s">
        <v>148</v>
      </c>
      <c r="J5" s="148"/>
      <c r="K5" s="48" t="s">
        <v>2077</v>
      </c>
      <c r="L5" s="49" t="s">
        <v>150</v>
      </c>
      <c r="M5" s="48" t="s">
        <v>149</v>
      </c>
      <c r="N5" s="49" t="s">
        <v>215</v>
      </c>
    </row>
    <row r="6" spans="2:17" ht="28.5" customHeight="1">
      <c r="B6" s="158"/>
      <c r="C6" s="143" t="s">
        <v>153</v>
      </c>
      <c r="D6" s="144"/>
      <c r="E6" s="135">
        <f>AVERAGE(D13:M13)</f>
        <v>155.52719212420288</v>
      </c>
      <c r="F6" s="136">
        <f>AVERAGE(D31:O31,D13:J13)</f>
        <v>161.67443887016853</v>
      </c>
      <c r="G6" s="137">
        <f>AVERAGE(D13:J13)</f>
        <v>161.67443887016853</v>
      </c>
      <c r="H6" s="138"/>
      <c r="I6" s="137">
        <f>AVERAGE(K13:M13)</f>
        <v>141.1836163836164</v>
      </c>
      <c r="J6" s="138"/>
      <c r="K6" s="139">
        <f>'0324 4度C'!Y2</f>
        <v>0</v>
      </c>
      <c r="L6" s="124">
        <f>'0324 4度C'!Z2</f>
        <v>0</v>
      </c>
      <c r="M6" s="140">
        <f>'0324 4度C'!AC2</f>
        <v>54</v>
      </c>
      <c r="N6" s="124">
        <f>'0324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149.06682782653041</v>
      </c>
      <c r="F7" s="128">
        <f>AVERAGE(D32:O32,D14:J14)</f>
        <v>155.0424331965196</v>
      </c>
      <c r="G7" s="129">
        <f>AVERAGE(D14:J14)</f>
        <v>155.0424331965196</v>
      </c>
      <c r="H7" s="130"/>
      <c r="I7" s="129">
        <f>AVERAGE(K14:M14)</f>
        <v>135.12374862988904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0.95890485334238529</v>
      </c>
      <c r="F8" s="132">
        <f>AVERAGE(D15:J15,D33:O33)</f>
        <v>0.95976883913191757</v>
      </c>
      <c r="G8" s="133">
        <f>AVERAGE(D15:J15)</f>
        <v>0.95976883913191757</v>
      </c>
      <c r="H8" s="134"/>
      <c r="I8" s="133">
        <f>AVERAGE(K15:M15)</f>
        <v>0.95688888650014292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156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2078</v>
      </c>
      <c r="E10" s="110"/>
      <c r="F10" s="110"/>
      <c r="G10" s="110"/>
      <c r="H10" s="110"/>
      <c r="I10" s="110"/>
      <c r="J10" s="111"/>
      <c r="K10" s="112" t="s">
        <v>159</v>
      </c>
      <c r="L10" s="113"/>
      <c r="M10" s="114"/>
      <c r="P10" s="53"/>
      <c r="Q10" s="53"/>
    </row>
    <row r="11" spans="2:17" ht="17.25" customHeight="1">
      <c r="B11" s="115" t="s">
        <v>160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172</v>
      </c>
      <c r="D13" s="61">
        <f>SUMIFS('0324 4度C'!$K:$K,'0324 4度C'!$A:$A,"新豐6線",'0324 4度C'!$B:$B,"平均")</f>
        <v>111.11111111111111</v>
      </c>
      <c r="E13" s="62">
        <f>SUMIFS('0324 4度C'!$K:$K,'0324 4度C'!$A:$A,"新豐2線",'0324 4度C'!$B:$B,"平均")</f>
        <v>84.905660377358487</v>
      </c>
      <c r="F13" s="63">
        <f>SUMIFS('0324 4度C'!$K:$K,'0324 4度C'!$A:$A,"新豐5線",'0324 4度C'!$B:$B,"平均")</f>
        <v>102.73972602739725</v>
      </c>
      <c r="G13" s="63">
        <f>SUMIFS('0324 4度C'!$K:$K,'0324 4度C'!$A:$A,"新豐7線",'0324 4度C'!$B:$B,"平均")</f>
        <v>126.37362637362638</v>
      </c>
      <c r="H13" s="63">
        <f>SUMIFS('0324 4度C'!$K:$K,'0324 4度C'!$A:$A,"新豐3線",'0324 4度C'!$B:$B,"平均")</f>
        <v>333.33333333333331</v>
      </c>
      <c r="I13" s="63">
        <f>SUMIFS('0324 4度C'!$K:$K,'0324 4度C'!$A:$A,"新豐1線",'0324 4度C'!$B:$B,"平均")</f>
        <v>104.02684563758389</v>
      </c>
      <c r="J13" s="64">
        <f>SUMIFS('0324 4度C'!$K:$K,'0324 4度C'!$A:$A,"新豐10線",'0324 4度C'!$B:$B,"平均")</f>
        <v>269.23076923076923</v>
      </c>
      <c r="K13" s="65">
        <f>SUMIFS('0324 4度C'!$K:$K,'0324 4度C'!$A:$A,"新豐8線",'0324 4度C'!$B:$B,"平均")</f>
        <v>130.90909090909091</v>
      </c>
      <c r="L13" s="66">
        <f>SUMIFS('0324 4度C'!$K:$K,'0324 4度C'!$A:$A,"新豐9線",'0324 4度C'!$B:$B,"平均")</f>
        <v>134.4</v>
      </c>
      <c r="M13" s="64">
        <f>SUMIFS('0324 4度C'!$K:$K,'0324 4度C'!$A:$A,"新豐4線",'0324 4度C'!$B:$B,"平均")</f>
        <v>158.24175824175825</v>
      </c>
    </row>
    <row r="14" spans="2:17" ht="39.6" customHeight="1">
      <c r="B14" s="120"/>
      <c r="C14" s="67" t="s">
        <v>173</v>
      </c>
      <c r="D14" s="68">
        <f>SUMIFS('0324 4度C'!$N:$N,'0324 4度C'!$A:$A,"新豐6線",'0324 4度C'!$B:$B,"平均")</f>
        <v>107.36203482190336</v>
      </c>
      <c r="E14" s="69">
        <f>SUMIFS('0324 4度C'!$N:$N,'0324 4度C'!$A:$A,"新豐2線",'0324 4度C'!$B:$B,"平均")</f>
        <v>80.899701932648995</v>
      </c>
      <c r="F14" s="69">
        <f>SUMIFS('0324 4度C'!$N:$N,'0324 4度C'!$A:$A,"新豐5線",'0324 4度C'!$B:$B,"平均")</f>
        <v>98.958674484258751</v>
      </c>
      <c r="G14" s="69">
        <f>SUMIFS('0324 4度C'!$N:$N,'0324 4度C'!$A:$A,"新豐7線",'0324 4度C'!$B:$B,"平均")</f>
        <v>120.80740963174473</v>
      </c>
      <c r="H14" s="69">
        <f>SUMIFS('0324 4度C'!$N:$N,'0324 4度C'!$A:$A,"新豐3線",'0324 4度C'!$B:$B,"平均")</f>
        <v>317.72186963607737</v>
      </c>
      <c r="I14" s="69">
        <f>SUMIFS('0324 4度C'!$N:$N,'0324 4度C'!$A:$A,"新豐1線",'0324 4度C'!$B:$B,"平均")</f>
        <v>100.28208023420891</v>
      </c>
      <c r="J14" s="70">
        <f>SUMIFS('0324 4度C'!$N:$N,'0324 4度C'!$A:$A,"新豐10線",'0324 4度C'!$B:$B,"平均")</f>
        <v>259.26526163479502</v>
      </c>
      <c r="K14" s="71">
        <f>SUMIFS('0324 4度C'!$N:$N,'0324 4度C'!$A:$A,"新豐8線",'0324 4度C'!$B:$B,"平均")</f>
        <v>125.00002150587481</v>
      </c>
      <c r="L14" s="72">
        <f>SUMIFS('0324 4度C'!$N:$N,'0324 4度C'!$A:$A,"新豐9線",'0324 4度C'!$B:$B,"平均")</f>
        <v>128.46648482870754</v>
      </c>
      <c r="M14" s="70">
        <f>SUMIFS('0324 4度C'!$N:$N,'0324 4度C'!$A:$A,"新豐4線",'0324 4度C'!$B:$B,"平均")</f>
        <v>151.90473955508472</v>
      </c>
    </row>
    <row r="15" spans="2:17" ht="40.15" customHeight="1">
      <c r="B15" s="121"/>
      <c r="C15" s="73" t="s">
        <v>174</v>
      </c>
      <c r="D15" s="74">
        <f t="shared" ref="D15:M15" si="0">D14/D13</f>
        <v>0.9662583133971302</v>
      </c>
      <c r="E15" s="75">
        <f t="shared" si="0"/>
        <v>0.95281871165119936</v>
      </c>
      <c r="F15" s="75">
        <f t="shared" si="0"/>
        <v>0.96319776498011855</v>
      </c>
      <c r="G15" s="75">
        <f t="shared" si="0"/>
        <v>0.95595428491206702</v>
      </c>
      <c r="H15" s="75">
        <f t="shared" si="0"/>
        <v>0.95316560890823221</v>
      </c>
      <c r="I15" s="75">
        <f t="shared" si="0"/>
        <v>0.96400193257400824</v>
      </c>
      <c r="J15" s="76">
        <f t="shared" si="0"/>
        <v>0.96298525750066721</v>
      </c>
      <c r="K15" s="74">
        <f t="shared" si="0"/>
        <v>0.95486127539209931</v>
      </c>
      <c r="L15" s="75">
        <f t="shared" si="0"/>
        <v>0.95585182164216909</v>
      </c>
      <c r="M15" s="76">
        <f t="shared" si="0"/>
        <v>0.95995356246616037</v>
      </c>
    </row>
    <row r="16" spans="2:17" ht="17.25" customHeight="1">
      <c r="B16" s="122" t="s">
        <v>2079</v>
      </c>
      <c r="C16" s="77" t="s">
        <v>176</v>
      </c>
      <c r="D16" s="78">
        <f>VLOOKUP("新豐6線",'0324 4度C'!$A:$T,19,0)</f>
        <v>0.70833333333333337</v>
      </c>
      <c r="E16" s="79">
        <f>VLOOKUP("新豐2線",'0324 4度C'!$A:$T,19,0)</f>
        <v>0.20833333333333334</v>
      </c>
      <c r="F16" s="79">
        <f>VLOOKUP("新豐5線",'0324 4度C'!$A:$T,19,0)</f>
        <v>0.20833333333333334</v>
      </c>
      <c r="G16" s="79">
        <f>VLOOKUP("新豐7線",'0324 4度C'!$A:$T,19,0)</f>
        <v>0.20833333333333334</v>
      </c>
      <c r="H16" s="79">
        <f>VLOOKUP("新豐3線",'0324 4度C'!$A:$T,19,0)</f>
        <v>8.3333333333333329E-2</v>
      </c>
      <c r="I16" s="79">
        <f>VLOOKUP("新豐1線",'0324 4度C'!$A:$T,19,0)</f>
        <v>0.20833333333333334</v>
      </c>
      <c r="J16" s="80">
        <f>VLOOKUP("新豐10線",'0324 4度C'!$A:$T,19,0)</f>
        <v>0.20833333333333334</v>
      </c>
      <c r="K16" s="81">
        <f>VLOOKUP("新豐8線",'0324 4度C'!$A:$T,19,0)</f>
        <v>8.3333333333333329E-2</v>
      </c>
      <c r="L16" s="82">
        <f>VLOOKUP("新豐9線",'0324 4度C'!$A:$T,19,0)</f>
        <v>8.3333333333333329E-2</v>
      </c>
      <c r="M16" s="83">
        <f>VLOOKUP("新豐4線",'0324 4度C'!$A:$T,19,0)</f>
        <v>8.3333333333333329E-2</v>
      </c>
    </row>
    <row r="17" spans="2:13" ht="17.25" customHeight="1">
      <c r="B17" s="123"/>
      <c r="C17" s="77" t="s">
        <v>177</v>
      </c>
      <c r="D17" s="81">
        <f>LOOKUP(2,1/(('0324 4度C'!$A:$A="新豐6線")*('0324 4度C'!$T:$T&lt;&gt;"")),'0324 4度C'!$T:$T)</f>
        <v>0.83124999999999993</v>
      </c>
      <c r="E17" s="79">
        <f>LOOKUP(2,1/(('0324 4度C'!$A:$A="新豐2線")*('0324 4度C'!$T:$T&lt;&gt;"")),'0324 4度C'!$T:$T)</f>
        <v>0.60277777777777763</v>
      </c>
      <c r="F17" s="79">
        <f>LOOKUP(2,1/(('0324 4度C'!$A:$A="新豐5線")*('0324 4度C'!$T:$T&lt;&gt;"")),'0324 4度C'!$T:$T)</f>
        <v>0.84097222222222223</v>
      </c>
      <c r="G17" s="79">
        <f>LOOKUP(2,1/(('0324 4度C'!$A:$A="新豐7線")*('0324 4度C'!$T:$T&lt;&gt;"")),'0324 4度C'!$T:$T)</f>
        <v>0.85416666666666674</v>
      </c>
      <c r="H17" s="79">
        <f>LOOKUP(2,1/(('0324 4度C'!$A:$A="新豐3線")*('0324 4度C'!$T:$T&lt;&gt;"")),'0324 4度C'!$T:$T)</f>
        <v>0.44374999999999998</v>
      </c>
      <c r="I17" s="79">
        <f>LOOKUP(2,1/(('0324 4度C'!$A:$A="新豐1線")*('0324 4度C'!$T:$T&lt;&gt;"")),'0324 4度C'!$T:$T)</f>
        <v>0.90486111111111112</v>
      </c>
      <c r="J17" s="80">
        <f>LOOKUP(2,1/(('0324 4度C'!$A:$A="新豐10線")*('0324 4度C'!$T:$T&lt;&gt;"")),'0324 4度C'!$T:$T)</f>
        <v>0.44374999999999998</v>
      </c>
      <c r="K17" s="78">
        <f>LOOKUP(2,1/(('0324 4度C'!$A:$A="新豐8線")*('0324 4度C'!$T:$T&lt;&gt;"")),'0324 4度C'!$T:$T)</f>
        <v>0.61180555555555549</v>
      </c>
      <c r="L17" s="79">
        <f>LOOKUP(2,1/(('0324 4度C'!$A:$A="新豐9線")*('0324 4度C'!$T:$T&lt;&gt;"")),'0324 4度C'!$T:$T)</f>
        <v>0.64722222222222214</v>
      </c>
      <c r="M17" s="80">
        <f>LOOKUP(2,1/(('0324 4度C'!$A:$A="新豐4線")*('0324 4度C'!$T:$T&lt;&gt;"")),'0324 4度C'!$T:$T)</f>
        <v>0.61111111111111094</v>
      </c>
    </row>
    <row r="18" spans="2:13" ht="17.25" customHeight="1">
      <c r="B18" s="101" t="s">
        <v>178</v>
      </c>
      <c r="C18" s="84" t="s">
        <v>179</v>
      </c>
      <c r="D18" s="85">
        <f>SUMIFS('0324 4度C'!$Y:$Y,'0324 4度C'!$A:$A,"新豐6線",'0324 4度C'!$B:$B,"平均")</f>
        <v>0</v>
      </c>
      <c r="E18" s="86">
        <f>SUMIFS('0324 4度C'!$Y:$Y,'0324 4度C'!$A:$A,"新豐2線",'0324 4度C'!$B:$B,"平均")</f>
        <v>0</v>
      </c>
      <c r="F18" s="86">
        <f>SUMIFS('0324 4度C'!$Y:$Y,'0324 4度C'!$A:$A,"新豐5線",'0324 4度C'!$B:$B,"平均")</f>
        <v>0</v>
      </c>
      <c r="G18" s="86">
        <f>SUMIFS('0324 4度C'!$Y:$Y,'0324 4度C'!$A:$A,"新豐7線",'0324 4度C'!$B:$B,"平均")</f>
        <v>0</v>
      </c>
      <c r="H18" s="86">
        <f>SUMIFS('0324 4度C'!$Y:$Y,'0324 4度C'!$A:$A,"新豐3線",'0324 4度C'!$B:$B,"平均")</f>
        <v>0</v>
      </c>
      <c r="I18" s="86">
        <f>SUMIFS('0324 4度C'!$Y:$Y,'0324 4度C'!$A:$A,"新豐1線",'0324 4度C'!$B:$B,"平均")</f>
        <v>0</v>
      </c>
      <c r="J18" s="87">
        <f>SUMIFS('0324 4度C'!$Y:$Y,'0324 4度C'!$A:$A,"新豐10線",'0324 4度C'!$B:$B,"平均")</f>
        <v>0</v>
      </c>
      <c r="K18" s="88">
        <f>SUMIFS('0324 4度C'!$Y:$Y,'0324 4度C'!$A:$A,"新豐8線",'0324 4度C'!$B:$B,"平均")</f>
        <v>0</v>
      </c>
      <c r="L18" s="86">
        <f>SUMIFS('0324 4度C'!$Y:$Y,'0324 4度C'!$A:$A,"新豐9線",'0324 4度C'!$B:$B,"平均")</f>
        <v>0</v>
      </c>
      <c r="M18" s="87">
        <f>SUMIFS('0324 4度C'!$Y:$Y,'0324 4度C'!$A:$A,"新豐4線",'0324 4度C'!$B:$B,"平均")</f>
        <v>0</v>
      </c>
    </row>
    <row r="19" spans="2:13" ht="17.25" customHeight="1">
      <c r="B19" s="102"/>
      <c r="C19" s="84" t="s">
        <v>180</v>
      </c>
      <c r="D19" s="85">
        <f>SUMIFS('0324 4度C'!$Z:$Z,'0324 4度C'!$A:$A,"新豐6線",'0324 4度C'!$B:$B,"平均")</f>
        <v>0</v>
      </c>
      <c r="E19" s="86">
        <f>SUMIFS('0324 4度C'!$Z:$Z,'0324 4度C'!$A:$A,"新豐2線",'0324 4度C'!$B:$B,"平均")</f>
        <v>0</v>
      </c>
      <c r="F19" s="86">
        <f>SUMIFS('0324 4度C'!$Z:$Z,'0324 4度C'!$A:$A,"新豐5線",'0324 4度C'!$B:$B,"平均")</f>
        <v>0</v>
      </c>
      <c r="G19" s="86">
        <f>SUMIFS('0324 4度C'!$Z:$Z,'0324 4度C'!$A:$A,"新豐7線",'0324 4度C'!$B:$B,"平均")</f>
        <v>0</v>
      </c>
      <c r="H19" s="86">
        <f>SUMIFS('0324 4度C'!$Z:$Z,'0324 4度C'!$A:$A,"新豐3線",'0324 4度C'!$B:$B,"平均")</f>
        <v>0</v>
      </c>
      <c r="I19" s="86">
        <f>SUMIFS('0324 4度C'!$Z:$Z,'0324 4度C'!$A:$A,"新豐1線",'0324 4度C'!$B:$B,"平均")</f>
        <v>0</v>
      </c>
      <c r="J19" s="87">
        <f>SUMIFS('0324 4度C'!$Z:$Z,'0324 4度C'!$A:$A,"新豐10線",'0324 4度C'!$B:$B,"平均")</f>
        <v>0</v>
      </c>
      <c r="K19" s="88">
        <f>SUMIFS('0324 4度C'!$Z:$Z,'0324 4度C'!$A:$A,"新豐8線",'0324 4度C'!$B:$B,"平均")</f>
        <v>0</v>
      </c>
      <c r="L19" s="86">
        <f>SUMIFS('0324 4度C'!$Z:$Z,'0324 4度C'!$A:$A,"新豐9線",'0324 4度C'!$B:$B,"平均")</f>
        <v>0</v>
      </c>
      <c r="M19" s="87">
        <f>SUMIFS('0324 4度C'!$Z:$Z,'0324 4度C'!$A:$A,"新豐4線",'0324 4度C'!$B:$B,"平均")</f>
        <v>0</v>
      </c>
    </row>
    <row r="20" spans="2:13" ht="17.25" customHeight="1">
      <c r="B20" s="101" t="s">
        <v>181</v>
      </c>
      <c r="C20" s="84" t="s">
        <v>179</v>
      </c>
      <c r="D20" s="85">
        <f>SUMIFS('0324 4度C'!$AC:$AC,'0324 4度C'!$A:$A,"新豐6線",'0324 4度C'!$B:$B,"平均")</f>
        <v>4</v>
      </c>
      <c r="E20" s="86">
        <f>SUMIFS('0324 4度C'!$AC:$AC,'0324 4度C'!$A:$A,"新豐2線",'0324 4度C'!$B:$B,"平均")</f>
        <v>3</v>
      </c>
      <c r="F20" s="86">
        <f>SUMIFS('0324 4度C'!$AC:$AC,'0324 4度C'!$A:$A,"新豐5線",'0324 4度C'!$B:$B,"平均")</f>
        <v>4</v>
      </c>
      <c r="G20" s="86">
        <f>SUMIFS('0324 4度C'!$AC:$AC,'0324 4度C'!$A:$A,"新豐7線",'0324 4度C'!$B:$B,"平均")</f>
        <v>6</v>
      </c>
      <c r="H20" s="86">
        <f>SUMIFS('0324 4度C'!$AC:$AC,'0324 4度C'!$A:$A,"新豐3線",'0324 4度C'!$B:$B,"平均")</f>
        <v>5</v>
      </c>
      <c r="I20" s="86">
        <f>SUMIFS('0324 4度C'!$AC:$AC,'0324 4度C'!$A:$A,"新豐1線",'0324 4度C'!$B:$B,"平均")</f>
        <v>8</v>
      </c>
      <c r="J20" s="87">
        <f>SUMIFS('0324 4度C'!$AC:$AC,'0324 4度C'!$A:$A,"新豐10線",'0324 4度C'!$B:$B,"平均")</f>
        <v>5</v>
      </c>
      <c r="K20" s="88">
        <f>SUMIFS('0324 4度C'!$AC:$AC,'0324 4度C'!$A:$A,"新豐8線",'0324 4度C'!$B:$B,"平均")</f>
        <v>6</v>
      </c>
      <c r="L20" s="86">
        <f>SUMIFS('0324 4度C'!$AC:$AC,'0324 4度C'!$A:$A,"新豐9線",'0324 4度C'!$B:$B,"平均")</f>
        <v>7</v>
      </c>
      <c r="M20" s="87">
        <f>SUMIFS('0324 4度C'!$AC:$AC,'0324 4度C'!$A:$A,"新豐4線",'0324 4度C'!$B:$B,"平均")</f>
        <v>6</v>
      </c>
    </row>
    <row r="21" spans="2:13" ht="17.25" customHeight="1">
      <c r="B21" s="102"/>
      <c r="C21" s="84" t="s">
        <v>182</v>
      </c>
      <c r="D21" s="85">
        <f>SUMIFS('0324 4度C'!$AD:$AD,'0324 4度C'!$A:$A,"新豐6線",'0324 4度C'!$B:$B,"平均")</f>
        <v>0</v>
      </c>
      <c r="E21" s="86">
        <f>SUMIFS('0324 4度C'!$AD:$AD,'0324 4度C'!$A:$A,"新豐2線",'0324 4度C'!$B:$B,"平均")</f>
        <v>0</v>
      </c>
      <c r="F21" s="86">
        <f>SUMIFS('0324 4度C'!$AD:$AD,'0324 4度C'!$A:$A,"新豐5線",'0324 4度C'!$B:$B,"平均")</f>
        <v>0</v>
      </c>
      <c r="G21" s="86">
        <f>SUMIFS('0324 4度C'!$AD:$AD,'0324 4度C'!$A:$A,"新豐7線",'0324 4度C'!$B:$B,"平均")</f>
        <v>0</v>
      </c>
      <c r="H21" s="86">
        <f>SUMIFS('0324 4度C'!$AD:$AD,'0324 4度C'!$A:$A,"新豐3線",'0324 4度C'!$B:$B,"平均")</f>
        <v>0</v>
      </c>
      <c r="I21" s="86">
        <f>SUMIFS('0324 4度C'!$AD:$AD,'0324 4度C'!$A:$A,"新豐1線",'0324 4度C'!$B:$B,"平均")</f>
        <v>0</v>
      </c>
      <c r="J21" s="87">
        <f>SUMIFS('0324 4度C'!$AD:$AD,'0324 4度C'!$A:$A,"新豐10線",'0324 4度C'!$B:$B,"平均")</f>
        <v>0</v>
      </c>
      <c r="K21" s="88">
        <f>SUMIFS('0324 4度C'!$AD:$AD,'0324 4度C'!$A:$A,"新豐8線",'0324 4度C'!$B:$B,"平均")</f>
        <v>0</v>
      </c>
      <c r="L21" s="86">
        <f>SUMIFS('0324 4度C'!$AD:$AD,'0324 4度C'!$A:$A,"新豐9線",'0324 4度C'!$B:$B,"平均")</f>
        <v>0</v>
      </c>
      <c r="M21" s="87">
        <f>SUMIFS('0324 4度C'!$AD:$AD,'0324 4度C'!$A:$A,"新豐4線",'0324 4度C'!$B:$B,"平均")</f>
        <v>0</v>
      </c>
    </row>
    <row r="22" spans="2:13" ht="17.25" customHeight="1">
      <c r="B22" s="103" t="s">
        <v>183</v>
      </c>
      <c r="C22" s="104"/>
      <c r="D22" s="89">
        <f>SUMIFS('0324 4度C'!$I:$I,'0324 4度C'!$A:$A,"新豐6線",'0324 4度C'!$B:$B,"平均")</f>
        <v>18</v>
      </c>
      <c r="E22" s="90">
        <f>SUMIFS('0324 4度C'!$I:$I,'0324 4度C'!$A:$A,"新豐2線",'0324 4度C'!$B:$B,"平均")</f>
        <v>17.666666666666668</v>
      </c>
      <c r="F22" s="90">
        <f>SUMIFS('0324 4度C'!$I:$I,'0324 4度C'!$A:$A,"新豐5線",'0324 4度C'!$B:$B,"平均")</f>
        <v>18.25</v>
      </c>
      <c r="G22" s="90">
        <f>SUMIFS('0324 4度C'!$I:$I,'0324 4度C'!$A:$A,"新豐7線",'0324 4度C'!$B:$B,"平均")</f>
        <v>15.166666666666666</v>
      </c>
      <c r="H22" s="90">
        <f>SUMIFS('0324 4度C'!$I:$I,'0324 4度C'!$A:$A,"新豐3線",'0324 4度C'!$B:$B,"平均")</f>
        <v>9</v>
      </c>
      <c r="I22" s="90">
        <f>SUMIFS('0324 4度C'!$I:$I,'0324 4度C'!$A:$A,"新豐1線",'0324 4度C'!$B:$B,"平均")</f>
        <v>18.625</v>
      </c>
      <c r="J22" s="91">
        <f>SUMIFS('0324 4度C'!$I:$I,'0324 4度C'!$A:$A,"新豐10線",'0324 4度C'!$B:$B,"平均")</f>
        <v>10.4</v>
      </c>
      <c r="K22" s="89">
        <f>SUMIFS('0324 4度C'!$I:$I,'0324 4度C'!$A:$A,"新豐8線",'0324 4度C'!$B:$B,"平均")</f>
        <v>18.333333333333332</v>
      </c>
      <c r="L22" s="90">
        <f>SUMIFS('0324 4度C'!$I:$I,'0324 4度C'!$A:$A,"新豐9線",'0324 4度C'!$B:$B,"平均")</f>
        <v>17.857142857142858</v>
      </c>
      <c r="M22" s="91">
        <f>SUMIFS('0324 4度C'!$I:$I,'0324 4度C'!$A:$A,"新豐4線",'0324 4度C'!$B:$B,"平均")</f>
        <v>15.166666666666666</v>
      </c>
    </row>
    <row r="23" spans="2:13" ht="17.25" customHeight="1">
      <c r="B23" s="103" t="s">
        <v>184</v>
      </c>
      <c r="C23" s="104"/>
      <c r="D23" s="92" t="s">
        <v>185</v>
      </c>
      <c r="E23" s="93" t="s">
        <v>186</v>
      </c>
      <c r="F23" s="93" t="s">
        <v>187</v>
      </c>
      <c r="G23" s="93" t="s">
        <v>187</v>
      </c>
      <c r="H23" s="93" t="s">
        <v>188</v>
      </c>
      <c r="I23" s="93" t="s">
        <v>185</v>
      </c>
      <c r="J23" s="94" t="s">
        <v>188</v>
      </c>
      <c r="K23" s="92" t="s">
        <v>189</v>
      </c>
      <c r="L23" s="93" t="s">
        <v>2080</v>
      </c>
      <c r="M23" s="94" t="s">
        <v>189</v>
      </c>
    </row>
    <row r="24" spans="2:13" ht="17.25" customHeight="1">
      <c r="B24" s="103" t="s">
        <v>190</v>
      </c>
      <c r="C24" s="104"/>
      <c r="D24" s="92"/>
      <c r="E24" s="93"/>
      <c r="F24" s="93" t="s">
        <v>2081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1087</v>
      </c>
      <c r="C25" s="106"/>
      <c r="D25" s="95"/>
      <c r="E25" s="96" t="s">
        <v>193</v>
      </c>
      <c r="F25" s="99" t="s">
        <v>194</v>
      </c>
      <c r="G25" s="100"/>
      <c r="H25" s="96" t="s">
        <v>2082</v>
      </c>
      <c r="I25" s="96" t="s">
        <v>196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1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2083</v>
      </c>
      <c r="B1" s="1"/>
      <c r="C1" s="2" t="s">
        <v>2084</v>
      </c>
      <c r="D1" s="3">
        <f>SUM(F5:F68)</f>
        <v>165854</v>
      </c>
      <c r="E1" s="4" t="s">
        <v>2085</v>
      </c>
      <c r="F1" s="1">
        <f>SUM(G5:G68)</f>
        <v>5548673.3900000006</v>
      </c>
      <c r="G1" s="1" t="s">
        <v>2086</v>
      </c>
      <c r="H1" s="5">
        <f>L9+L13+L46+L55+L18+L61+L32+L40+L25+L68</f>
        <v>158.46547619047618</v>
      </c>
      <c r="I1" s="212" t="s">
        <v>2087</v>
      </c>
      <c r="J1" s="212"/>
      <c r="K1" s="212"/>
      <c r="L1" s="212" t="s">
        <v>2088</v>
      </c>
      <c r="M1" s="212"/>
      <c r="N1" s="212"/>
      <c r="O1" s="212" t="s">
        <v>2089</v>
      </c>
      <c r="P1" s="212"/>
      <c r="Q1" s="212"/>
      <c r="R1" s="212"/>
      <c r="S1" s="212" t="s">
        <v>2090</v>
      </c>
      <c r="T1" s="212"/>
      <c r="U1" s="212"/>
      <c r="V1" s="212"/>
      <c r="W1" s="212"/>
      <c r="X1" s="212"/>
      <c r="Y1" s="6" t="s">
        <v>2091</v>
      </c>
      <c r="Z1" s="7" t="s">
        <v>2092</v>
      </c>
      <c r="AA1" s="213" t="s">
        <v>2093</v>
      </c>
      <c r="AB1" s="213"/>
      <c r="AC1" s="42" t="s">
        <v>2091</v>
      </c>
      <c r="AD1" s="7" t="s">
        <v>2094</v>
      </c>
      <c r="AE1" s="212" t="s">
        <v>2095</v>
      </c>
      <c r="AF1" s="214"/>
      <c r="AG1" s="214"/>
    </row>
    <row r="2" spans="1:33" ht="26.25" customHeight="1">
      <c r="A2" s="33">
        <v>46105</v>
      </c>
      <c r="B2" s="34" t="s">
        <v>303</v>
      </c>
      <c r="C2" s="2" t="s">
        <v>2096</v>
      </c>
      <c r="D2" s="9">
        <f>AVERAGE(N9,N13,N46,N55,N18,N61,N25,N32,N40,N68)</f>
        <v>149.06682782653041</v>
      </c>
      <c r="E2" s="10" t="s">
        <v>14</v>
      </c>
      <c r="F2" s="11">
        <f>F1/D1</f>
        <v>33.455167737889958</v>
      </c>
      <c r="G2" s="1" t="s">
        <v>2097</v>
      </c>
      <c r="H2" s="12">
        <f>COUNT(H5:H68)</f>
        <v>6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SUM(Y9+Y13+Y18+Y25+Y32+Y40+Y46+Y55+Y61+Y68)</f>
        <v>0</v>
      </c>
      <c r="Z2" s="13">
        <f>SUM(Z9+Z13+Z18+Z25+Z32+Z40+Z46+Z55+Z61+Z68)</f>
        <v>0</v>
      </c>
      <c r="AA2" s="213"/>
      <c r="AB2" s="213"/>
      <c r="AC2" s="13">
        <v>54</v>
      </c>
      <c r="AD2" s="13">
        <f>SUM(AD9+AD13+AD18+AD25+AD32+AD40+AD46+AD55+AD61+AD68)</f>
        <v>0</v>
      </c>
      <c r="AE2" s="214"/>
      <c r="AF2" s="214"/>
      <c r="AG2" s="214"/>
    </row>
    <row r="3" spans="1:33" ht="40.5" customHeight="1">
      <c r="A3" s="162" t="s">
        <v>2098</v>
      </c>
      <c r="B3" s="162" t="s">
        <v>2099</v>
      </c>
      <c r="C3" s="162" t="s">
        <v>2100</v>
      </c>
      <c r="D3" s="162"/>
      <c r="E3" s="210" t="s">
        <v>2101</v>
      </c>
      <c r="F3" s="162" t="s">
        <v>2102</v>
      </c>
      <c r="G3" s="210" t="s">
        <v>2103</v>
      </c>
      <c r="H3" s="204" t="s">
        <v>2104</v>
      </c>
      <c r="I3" s="202" t="s">
        <v>2105</v>
      </c>
      <c r="J3" s="199" t="s">
        <v>2106</v>
      </c>
      <c r="K3" s="209" t="s">
        <v>2096</v>
      </c>
      <c r="L3" s="202" t="s">
        <v>2105</v>
      </c>
      <c r="M3" s="199" t="s">
        <v>2106</v>
      </c>
      <c r="N3" s="209" t="s">
        <v>2096</v>
      </c>
      <c r="O3" s="202" t="s">
        <v>2105</v>
      </c>
      <c r="P3" s="209" t="s">
        <v>2096</v>
      </c>
      <c r="Q3" s="200" t="s">
        <v>2107</v>
      </c>
      <c r="R3" s="178" t="s">
        <v>2108</v>
      </c>
      <c r="S3" s="162" t="s">
        <v>27</v>
      </c>
      <c r="T3" s="162"/>
      <c r="U3" s="204" t="s">
        <v>28</v>
      </c>
      <c r="V3" s="204" t="s">
        <v>2109</v>
      </c>
      <c r="W3" s="162" t="s">
        <v>2110</v>
      </c>
      <c r="X3" s="162"/>
      <c r="Y3" s="205" t="s">
        <v>2111</v>
      </c>
      <c r="Z3" s="166"/>
      <c r="AA3" s="206" t="s">
        <v>2112</v>
      </c>
      <c r="AB3" s="207"/>
      <c r="AC3" s="205" t="s">
        <v>2113</v>
      </c>
      <c r="AD3" s="166"/>
      <c r="AE3" s="199" t="s">
        <v>2114</v>
      </c>
      <c r="AF3" s="200" t="s">
        <v>2107</v>
      </c>
      <c r="AG3" s="178" t="s">
        <v>2108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2115</v>
      </c>
      <c r="X4" s="4" t="s">
        <v>2116</v>
      </c>
      <c r="Y4" s="14" t="s">
        <v>2117</v>
      </c>
      <c r="Z4" s="14" t="s">
        <v>2118</v>
      </c>
      <c r="AA4" s="208"/>
      <c r="AB4" s="207"/>
      <c r="AC4" s="14" t="s">
        <v>2119</v>
      </c>
      <c r="AD4" s="14" t="s">
        <v>2120</v>
      </c>
      <c r="AE4" s="199"/>
      <c r="AF4" s="200"/>
      <c r="AG4" s="178"/>
    </row>
    <row r="5" spans="1:33">
      <c r="A5" s="201" t="s">
        <v>2121</v>
      </c>
      <c r="B5" s="35" t="s">
        <v>78</v>
      </c>
      <c r="C5" s="203" t="s">
        <v>79</v>
      </c>
      <c r="D5" s="203"/>
      <c r="E5" s="35">
        <v>50.67</v>
      </c>
      <c r="F5" s="4">
        <v>1593</v>
      </c>
      <c r="G5" s="4">
        <f t="shared" ref="G5:G8" si="0">E5*F5</f>
        <v>80717.31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8" si="2">F5/V5*60</f>
        <v>1911.6000000000006</v>
      </c>
      <c r="N5" s="16">
        <f t="shared" ref="N5:N68" si="3">M5/L5</f>
        <v>112.44705882352945</v>
      </c>
      <c r="O5" s="18">
        <f t="shared" ref="O5:O68" si="4">L5-I5</f>
        <v>0</v>
      </c>
      <c r="P5" s="19">
        <f t="shared" ref="P5:P68" si="5">N5-K5</f>
        <v>-5.1999999999999602</v>
      </c>
      <c r="Q5" s="20">
        <f t="shared" ref="Q5:Q68" si="6">N5/K5</f>
        <v>0.95580000000000032</v>
      </c>
      <c r="R5" s="170">
        <f>Q9</f>
        <v>0.9662583133971302</v>
      </c>
      <c r="S5" s="27">
        <v>0.70833333333333337</v>
      </c>
      <c r="T5" s="27">
        <v>0.74305555555555558</v>
      </c>
      <c r="U5" s="4"/>
      <c r="V5" s="21">
        <f t="shared" ref="V5:V8" si="7">(T5-S5)*24*60</f>
        <v>49.999999999999986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4" si="8">M5-J5</f>
        <v>-88.399999999999409</v>
      </c>
      <c r="AF5" s="20">
        <f t="shared" ref="AF5:AF68" si="9">M5/J5</f>
        <v>0.95580000000000032</v>
      </c>
      <c r="AG5" s="170">
        <f>AF9</f>
        <v>0.9662583133971302</v>
      </c>
    </row>
    <row r="6" spans="1:33">
      <c r="A6" s="202" t="s">
        <v>2121</v>
      </c>
      <c r="B6" s="35" t="s">
        <v>78</v>
      </c>
      <c r="C6" s="203" t="s">
        <v>80</v>
      </c>
      <c r="D6" s="203"/>
      <c r="E6" s="35">
        <v>54.09</v>
      </c>
      <c r="F6" s="4">
        <v>1277</v>
      </c>
      <c r="G6" s="4">
        <f t="shared" si="0"/>
        <v>69072.930000000008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1915.4999999999993</v>
      </c>
      <c r="N6" s="16">
        <f t="shared" si="3"/>
        <v>100.81578947368418</v>
      </c>
      <c r="O6" s="18">
        <f t="shared" si="4"/>
        <v>0</v>
      </c>
      <c r="P6" s="19">
        <f t="shared" si="5"/>
        <v>-4.4473684210526585</v>
      </c>
      <c r="Q6" s="20">
        <f t="shared" si="6"/>
        <v>0.95774999999999977</v>
      </c>
      <c r="R6" s="170"/>
      <c r="S6" s="27">
        <v>0.74722222222222223</v>
      </c>
      <c r="T6" s="27">
        <v>0.77500000000000002</v>
      </c>
      <c r="U6" s="4">
        <f t="shared" ref="U6:U8" si="10">IF(S6=TIME(17,0,0),"",(S6-T5)*24*60)</f>
        <v>5.9999999999999787</v>
      </c>
      <c r="V6" s="21">
        <f t="shared" si="7"/>
        <v>40.000000000000014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-84.500000000000682</v>
      </c>
      <c r="AF6" s="20">
        <f t="shared" si="9"/>
        <v>0.95774999999999966</v>
      </c>
      <c r="AG6" s="170"/>
    </row>
    <row r="7" spans="1:33">
      <c r="A7" s="202" t="s">
        <v>2121</v>
      </c>
      <c r="B7" s="35" t="s">
        <v>78</v>
      </c>
      <c r="C7" s="197" t="s">
        <v>82</v>
      </c>
      <c r="D7" s="198"/>
      <c r="E7" s="35">
        <v>50.67</v>
      </c>
      <c r="F7" s="4">
        <v>362</v>
      </c>
      <c r="G7" s="4">
        <f t="shared" si="0"/>
        <v>18342.54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1974.5454545454616</v>
      </c>
      <c r="N7" s="16">
        <f t="shared" si="3"/>
        <v>94.025974025974364</v>
      </c>
      <c r="O7" s="18">
        <f t="shared" si="4"/>
        <v>0</v>
      </c>
      <c r="P7" s="19">
        <f t="shared" si="5"/>
        <v>-1.2121212121208771</v>
      </c>
      <c r="Q7" s="20">
        <f t="shared" si="6"/>
        <v>0.98727272727273074</v>
      </c>
      <c r="R7" s="170"/>
      <c r="S7" s="27">
        <v>0.77916666666666667</v>
      </c>
      <c r="T7" s="27">
        <v>0.78680555555555554</v>
      </c>
      <c r="U7" s="4">
        <f t="shared" si="10"/>
        <v>5.9999999999999787</v>
      </c>
      <c r="V7" s="21">
        <f t="shared" si="7"/>
        <v>10.999999999999961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-25.454545454538447</v>
      </c>
      <c r="AF7" s="20">
        <f t="shared" si="9"/>
        <v>0.98727272727273074</v>
      </c>
      <c r="AG7" s="170"/>
    </row>
    <row r="8" spans="1:33">
      <c r="A8" s="202" t="s">
        <v>2121</v>
      </c>
      <c r="B8" s="35" t="s">
        <v>78</v>
      </c>
      <c r="C8" s="197" t="s">
        <v>91</v>
      </c>
      <c r="D8" s="198"/>
      <c r="E8" s="35">
        <v>50.67</v>
      </c>
      <c r="F8" s="4">
        <v>1832</v>
      </c>
      <c r="G8" s="4">
        <f t="shared" si="0"/>
        <v>92827.44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1928.4210526315806</v>
      </c>
      <c r="N8" s="16">
        <f t="shared" si="3"/>
        <v>128.56140350877203</v>
      </c>
      <c r="O8" s="18">
        <f t="shared" si="4"/>
        <v>0</v>
      </c>
      <c r="P8" s="19">
        <f t="shared" si="5"/>
        <v>-4.7719298245613118</v>
      </c>
      <c r="Q8" s="20">
        <f t="shared" si="6"/>
        <v>0.96421052631579018</v>
      </c>
      <c r="R8" s="170"/>
      <c r="S8" s="27">
        <v>0.79166666666666663</v>
      </c>
      <c r="T8" s="27">
        <v>0.83124999999999993</v>
      </c>
      <c r="U8" s="4">
        <f t="shared" si="10"/>
        <v>6.9999999999999751</v>
      </c>
      <c r="V8" s="21">
        <f t="shared" si="7"/>
        <v>56.999999999999957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-71.578947368419449</v>
      </c>
      <c r="AF8" s="20">
        <f t="shared" si="9"/>
        <v>0.9642105263157903</v>
      </c>
      <c r="AG8" s="170"/>
    </row>
    <row r="9" spans="1:33">
      <c r="A9" s="202" t="s">
        <v>2121</v>
      </c>
      <c r="B9" s="35" t="s">
        <v>2122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1932.5166267942604</v>
      </c>
      <c r="N9" s="16">
        <f t="shared" si="3"/>
        <v>107.36203482190336</v>
      </c>
      <c r="O9" s="18">
        <f t="shared" si="4"/>
        <v>0</v>
      </c>
      <c r="P9" s="19">
        <f t="shared" si="5"/>
        <v>-3.7490762892077498</v>
      </c>
      <c r="Q9" s="20">
        <f t="shared" si="6"/>
        <v>0.9662583133971302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-67.483373205739554</v>
      </c>
      <c r="AF9" s="20">
        <f t="shared" si="9"/>
        <v>0.9662583133971302</v>
      </c>
      <c r="AG9" s="170"/>
    </row>
    <row r="10" spans="1:33" ht="15.75" customHeight="1">
      <c r="A10" s="196" t="s">
        <v>2123</v>
      </c>
      <c r="B10" s="35" t="s">
        <v>84</v>
      </c>
      <c r="C10" s="197" t="s">
        <v>85</v>
      </c>
      <c r="D10" s="198"/>
      <c r="E10" s="35">
        <v>39.619999999999997</v>
      </c>
      <c r="F10" s="4">
        <v>4712</v>
      </c>
      <c r="G10" s="4">
        <f t="shared" ref="G10:G12" si="11">E10*F10</f>
        <v>186689.44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1427.878787878788</v>
      </c>
      <c r="N10" s="16">
        <f t="shared" si="3"/>
        <v>75.151515151515156</v>
      </c>
      <c r="O10" s="18">
        <f t="shared" si="4"/>
        <v>0</v>
      </c>
      <c r="P10" s="19">
        <f t="shared" si="5"/>
        <v>-3.7958532695374743</v>
      </c>
      <c r="Q10" s="20">
        <f t="shared" si="6"/>
        <v>0.95191919191919194</v>
      </c>
      <c r="R10" s="170">
        <f>Q13</f>
        <v>0.95281871165119936</v>
      </c>
      <c r="S10" s="27">
        <v>0.20833333333333334</v>
      </c>
      <c r="T10" s="27">
        <v>0.34583333333333333</v>
      </c>
      <c r="U10" s="4"/>
      <c r="V10" s="21">
        <f t="shared" ref="V10:V12" si="13">(T10-S10)*24*60</f>
        <v>198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-72.121212121212011</v>
      </c>
      <c r="AF10" s="20">
        <f t="shared" si="9"/>
        <v>0.95191919191919194</v>
      </c>
      <c r="AG10" s="170">
        <f>AF13</f>
        <v>0.95281871165119936</v>
      </c>
    </row>
    <row r="11" spans="1:33" ht="15.75" customHeight="1">
      <c r="A11" s="196" t="s">
        <v>493</v>
      </c>
      <c r="B11" s="35" t="s">
        <v>84</v>
      </c>
      <c r="C11" s="197" t="s">
        <v>86</v>
      </c>
      <c r="D11" s="198"/>
      <c r="E11" s="35">
        <v>39.799999999999997</v>
      </c>
      <c r="F11" s="4">
        <v>4700</v>
      </c>
      <c r="G11" s="4">
        <f t="shared" si="11"/>
        <v>187060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1431.4720812182745</v>
      </c>
      <c r="N11" s="16">
        <f t="shared" si="3"/>
        <v>84.204240071663207</v>
      </c>
      <c r="O11" s="18">
        <f t="shared" si="4"/>
        <v>0</v>
      </c>
      <c r="P11" s="19">
        <f t="shared" si="5"/>
        <v>-4.0310540459838506</v>
      </c>
      <c r="Q11" s="20">
        <f t="shared" si="6"/>
        <v>0.95431472081218305</v>
      </c>
      <c r="R11" s="170"/>
      <c r="S11" s="27">
        <v>0.35138888888888886</v>
      </c>
      <c r="T11" s="27">
        <v>0.48819444444444438</v>
      </c>
      <c r="U11" s="4">
        <f t="shared" ref="U11:U12" si="14">IF(S11=TIME(17,0,0),"",(S11-T10)*24*60)</f>
        <v>7.9999999999999716</v>
      </c>
      <c r="V11" s="21">
        <f t="shared" si="13"/>
        <v>196.99999999999994</v>
      </c>
      <c r="W11" s="22">
        <f>T11</f>
        <v>0.48819444444444438</v>
      </c>
      <c r="X11" s="22">
        <f>S12</f>
        <v>0.52777777777777768</v>
      </c>
      <c r="Y11" s="22"/>
      <c r="Z11" s="22"/>
      <c r="AA11" s="162"/>
      <c r="AB11" s="162"/>
      <c r="AC11" s="24"/>
      <c r="AD11" s="24"/>
      <c r="AE11" s="18">
        <f t="shared" si="8"/>
        <v>-68.527918781725475</v>
      </c>
      <c r="AF11" s="20">
        <f t="shared" si="9"/>
        <v>0.95431472081218305</v>
      </c>
      <c r="AG11" s="170"/>
    </row>
    <row r="12" spans="1:33" ht="15.75" customHeight="1">
      <c r="A12" s="196" t="s">
        <v>493</v>
      </c>
      <c r="B12" s="35" t="s">
        <v>84</v>
      </c>
      <c r="C12" s="197" t="s">
        <v>86</v>
      </c>
      <c r="D12" s="198"/>
      <c r="E12" s="35">
        <v>39.799999999999997</v>
      </c>
      <c r="F12" s="4">
        <v>2571</v>
      </c>
      <c r="G12" s="4">
        <f t="shared" si="11"/>
        <v>102325.79999999999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1428.3333333333342</v>
      </c>
      <c r="N12" s="16">
        <f t="shared" si="3"/>
        <v>84.019607843137308</v>
      </c>
      <c r="O12" s="18">
        <f t="shared" si="4"/>
        <v>0</v>
      </c>
      <c r="P12" s="19">
        <f t="shared" si="5"/>
        <v>-4.2156862745097499</v>
      </c>
      <c r="Q12" s="20">
        <f t="shared" si="6"/>
        <v>0.95222222222222286</v>
      </c>
      <c r="R12" s="170"/>
      <c r="S12" s="27">
        <v>0.52777777777777768</v>
      </c>
      <c r="T12" s="27">
        <v>0.60277777777777763</v>
      </c>
      <c r="U12" s="4">
        <f t="shared" si="14"/>
        <v>56.999999999999957</v>
      </c>
      <c r="V12" s="21">
        <f t="shared" si="13"/>
        <v>107.99999999999994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-71.666666666665833</v>
      </c>
      <c r="AF12" s="20">
        <f t="shared" si="9"/>
        <v>0.95222222222222275</v>
      </c>
      <c r="AG12" s="170"/>
    </row>
    <row r="13" spans="1:33" ht="16.5" customHeight="1">
      <c r="A13" s="196" t="s">
        <v>493</v>
      </c>
      <c r="B13" s="35" t="s">
        <v>2122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1429.228067476799</v>
      </c>
      <c r="N13" s="16">
        <f t="shared" si="3"/>
        <v>80.899701932648995</v>
      </c>
      <c r="O13" s="18">
        <f t="shared" si="4"/>
        <v>0</v>
      </c>
      <c r="P13" s="19">
        <f t="shared" si="5"/>
        <v>-4.005958444709492</v>
      </c>
      <c r="Q13" s="20">
        <f t="shared" si="6"/>
        <v>0.95281871165119936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v>3</v>
      </c>
      <c r="AD13" s="30">
        <f>SUM(AD10:AD12)</f>
        <v>0</v>
      </c>
      <c r="AE13" s="18">
        <f t="shared" si="8"/>
        <v>-70.771932523201031</v>
      </c>
      <c r="AF13" s="20">
        <f t="shared" si="9"/>
        <v>0.95281871165119936</v>
      </c>
      <c r="AG13" s="170"/>
    </row>
    <row r="14" spans="1:33" ht="16.5" customHeight="1">
      <c r="A14" s="194" t="s">
        <v>2124</v>
      </c>
      <c r="B14" s="4" t="s">
        <v>87</v>
      </c>
      <c r="C14" s="190" t="s">
        <v>88</v>
      </c>
      <c r="D14" s="190"/>
      <c r="E14" s="35">
        <v>41</v>
      </c>
      <c r="F14" s="4">
        <v>2451</v>
      </c>
      <c r="G14" s="4">
        <f t="shared" ref="G14:G17" si="15">E14*F14</f>
        <v>100491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1441.7647058823532</v>
      </c>
      <c r="N14" s="16">
        <f t="shared" si="3"/>
        <v>55.452488687782811</v>
      </c>
      <c r="O14" s="18">
        <f t="shared" si="4"/>
        <v>0</v>
      </c>
      <c r="P14" s="19">
        <f t="shared" si="5"/>
        <v>-2.2398190045248825</v>
      </c>
      <c r="Q14" s="20">
        <f t="shared" si="6"/>
        <v>0.96117647058823541</v>
      </c>
      <c r="R14" s="170">
        <f>Q18</f>
        <v>0.96319776498011855</v>
      </c>
      <c r="S14" s="27">
        <v>0.20833333333333334</v>
      </c>
      <c r="T14" s="27">
        <v>0.27916666666666667</v>
      </c>
      <c r="U14" s="4"/>
      <c r="V14" s="21">
        <f t="shared" ref="V14:V17" si="17">(T14-S14)*24*60</f>
        <v>102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-58.235294117646845</v>
      </c>
      <c r="AF14" s="20">
        <f t="shared" si="9"/>
        <v>0.96117647058823541</v>
      </c>
      <c r="AG14" s="170">
        <f>AF18</f>
        <v>0.96319776498011855</v>
      </c>
    </row>
    <row r="15" spans="1:33" ht="16.5" customHeight="1">
      <c r="A15" s="195" t="s">
        <v>50</v>
      </c>
      <c r="B15" s="4" t="s">
        <v>78</v>
      </c>
      <c r="C15" s="190" t="s">
        <v>89</v>
      </c>
      <c r="D15" s="190"/>
      <c r="E15" s="35">
        <v>50.98</v>
      </c>
      <c r="F15" s="4">
        <v>2561</v>
      </c>
      <c r="G15" s="4">
        <f t="shared" si="15"/>
        <v>130559.78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1920.7499999999993</v>
      </c>
      <c r="N15" s="16">
        <f t="shared" si="3"/>
        <v>120.04687499999996</v>
      </c>
      <c r="O15" s="18">
        <f t="shared" si="4"/>
        <v>0</v>
      </c>
      <c r="P15" s="19">
        <f t="shared" si="5"/>
        <v>-4.9531250000000426</v>
      </c>
      <c r="Q15" s="20">
        <f t="shared" si="6"/>
        <v>0.96037499999999965</v>
      </c>
      <c r="R15" s="170"/>
      <c r="S15" s="27">
        <v>0.70833333333333337</v>
      </c>
      <c r="T15" s="27">
        <v>0.76388888888888895</v>
      </c>
      <c r="U15" s="4" t="str">
        <f t="shared" ref="U15:U17" si="18">IF(S15=TIME(17,0,0),"",(S15-T14)*24*60)</f>
        <v/>
      </c>
      <c r="V15" s="21">
        <f t="shared" si="17"/>
        <v>80.000000000000028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-79.250000000000682</v>
      </c>
      <c r="AF15" s="20">
        <f t="shared" si="9"/>
        <v>0.96037499999999965</v>
      </c>
      <c r="AG15" s="170"/>
    </row>
    <row r="16" spans="1:33" ht="16.5" customHeight="1">
      <c r="A16" s="195" t="s">
        <v>50</v>
      </c>
      <c r="B16" s="4" t="s">
        <v>78</v>
      </c>
      <c r="C16" s="190" t="s">
        <v>83</v>
      </c>
      <c r="D16" s="190"/>
      <c r="E16" s="35">
        <v>50.67</v>
      </c>
      <c r="F16" s="4">
        <v>713</v>
      </c>
      <c r="G16" s="4">
        <f t="shared" si="15"/>
        <v>36127.71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1944.5454545454616</v>
      </c>
      <c r="N16" s="16">
        <f t="shared" si="3"/>
        <v>121.53409090909135</v>
      </c>
      <c r="O16" s="18">
        <f t="shared" si="4"/>
        <v>0</v>
      </c>
      <c r="P16" s="19">
        <f t="shared" si="5"/>
        <v>-3.465909090908653</v>
      </c>
      <c r="Q16" s="20">
        <f t="shared" si="6"/>
        <v>0.97227272727273073</v>
      </c>
      <c r="R16" s="170"/>
      <c r="S16" s="27">
        <v>0.76736111111111116</v>
      </c>
      <c r="T16" s="27">
        <v>0.78263888888888888</v>
      </c>
      <c r="U16" s="4">
        <f t="shared" si="18"/>
        <v>4.9999999999999822</v>
      </c>
      <c r="V16" s="21">
        <f t="shared" si="17"/>
        <v>21.999999999999922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-55.454545454538447</v>
      </c>
      <c r="AF16" s="20">
        <f t="shared" si="9"/>
        <v>0.97227272727273073</v>
      </c>
      <c r="AG16" s="170"/>
    </row>
    <row r="17" spans="1:33" ht="16.5" customHeight="1">
      <c r="A17" s="195" t="s">
        <v>50</v>
      </c>
      <c r="B17" s="4" t="s">
        <v>78</v>
      </c>
      <c r="C17" s="190" t="s">
        <v>90</v>
      </c>
      <c r="D17" s="190"/>
      <c r="E17" s="35">
        <v>50.92</v>
      </c>
      <c r="F17" s="4">
        <v>2492</v>
      </c>
      <c r="G17" s="4">
        <f t="shared" si="15"/>
        <v>126892.64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1916.9230769230758</v>
      </c>
      <c r="N17" s="16">
        <f t="shared" si="3"/>
        <v>127.79487179487172</v>
      </c>
      <c r="O17" s="18">
        <f t="shared" si="4"/>
        <v>0</v>
      </c>
      <c r="P17" s="19">
        <f t="shared" si="5"/>
        <v>-5.5384615384616183</v>
      </c>
      <c r="Q17" s="20">
        <f t="shared" si="6"/>
        <v>0.95846153846153792</v>
      </c>
      <c r="R17" s="170"/>
      <c r="S17" s="27">
        <v>0.78680555555555554</v>
      </c>
      <c r="T17" s="27">
        <v>0.84097222222222223</v>
      </c>
      <c r="U17" s="4">
        <f t="shared" si="18"/>
        <v>5.9999999999999787</v>
      </c>
      <c r="V17" s="21">
        <f t="shared" si="17"/>
        <v>78.000000000000043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-83.076923076924231</v>
      </c>
      <c r="AF17" s="20">
        <f t="shared" si="9"/>
        <v>0.95846153846153792</v>
      </c>
      <c r="AG17" s="170"/>
    </row>
    <row r="18" spans="1:33" ht="16.5" customHeight="1">
      <c r="A18" s="195" t="s">
        <v>2125</v>
      </c>
      <c r="B18" s="35" t="s">
        <v>48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1805.9958093377222</v>
      </c>
      <c r="N18" s="16">
        <f t="shared" si="3"/>
        <v>98.958674484258751</v>
      </c>
      <c r="O18" s="18">
        <f t="shared" si="4"/>
        <v>0</v>
      </c>
      <c r="P18" s="19">
        <f t="shared" si="5"/>
        <v>-3.7810515431385028</v>
      </c>
      <c r="Q18" s="20">
        <f t="shared" si="6"/>
        <v>0.96319776498011855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-69.004190662277779</v>
      </c>
      <c r="AF18" s="20">
        <f t="shared" si="9"/>
        <v>0.96319776498011855</v>
      </c>
      <c r="AG18" s="170"/>
    </row>
    <row r="19" spans="1:33" ht="15.75" customHeight="1">
      <c r="A19" s="192" t="s">
        <v>52</v>
      </c>
      <c r="B19" s="35" t="s">
        <v>78</v>
      </c>
      <c r="C19" s="190" t="s">
        <v>92</v>
      </c>
      <c r="D19" s="190"/>
      <c r="E19" s="35">
        <v>57.73</v>
      </c>
      <c r="F19" s="4">
        <v>2570</v>
      </c>
      <c r="G19" s="4">
        <f t="shared" ref="G19:G24" si="19">E19*F19</f>
        <v>148366.1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4" si="20">F19/V19*60</f>
        <v>1927.5</v>
      </c>
      <c r="N19" s="16">
        <f t="shared" si="3"/>
        <v>137.67857142857142</v>
      </c>
      <c r="O19" s="18">
        <f t="shared" si="4"/>
        <v>0</v>
      </c>
      <c r="P19" s="19">
        <f t="shared" si="5"/>
        <v>-5.1785714285714448</v>
      </c>
      <c r="Q19" s="20">
        <f t="shared" si="6"/>
        <v>0.96374999999999988</v>
      </c>
      <c r="R19" s="170">
        <f>Q25</f>
        <v>0.95595428491206702</v>
      </c>
      <c r="S19" s="27">
        <v>0.20833333333333334</v>
      </c>
      <c r="T19" s="27">
        <v>0.2638888888888889</v>
      </c>
      <c r="U19" s="4"/>
      <c r="V19" s="21">
        <f t="shared" ref="V19:V24" si="21">(T19-S19)*24*60</f>
        <v>80</v>
      </c>
      <c r="W19" s="27"/>
      <c r="X19" s="27"/>
      <c r="Y19" s="27"/>
      <c r="Z19" s="27"/>
      <c r="AA19" s="162"/>
      <c r="AB19" s="162"/>
      <c r="AC19" s="24">
        <v>6</v>
      </c>
      <c r="AD19" s="24"/>
      <c r="AE19" s="18">
        <f t="shared" si="8"/>
        <v>-72.5</v>
      </c>
      <c r="AF19" s="20">
        <f t="shared" si="9"/>
        <v>0.96375</v>
      </c>
      <c r="AG19" s="170">
        <f>AF25</f>
        <v>0.95595428491206702</v>
      </c>
    </row>
    <row r="20" spans="1:33" ht="15.75" customHeight="1">
      <c r="A20" s="193" t="s">
        <v>52</v>
      </c>
      <c r="B20" s="35" t="s">
        <v>78</v>
      </c>
      <c r="C20" s="190" t="s">
        <v>93</v>
      </c>
      <c r="D20" s="190"/>
      <c r="E20" s="35">
        <v>53.68</v>
      </c>
      <c r="F20" s="4">
        <v>1523</v>
      </c>
      <c r="G20" s="4">
        <f t="shared" si="19"/>
        <v>81754.64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1903.7500000000005</v>
      </c>
      <c r="N20" s="16">
        <f t="shared" si="3"/>
        <v>118.98437500000003</v>
      </c>
      <c r="O20" s="18">
        <f t="shared" si="4"/>
        <v>0</v>
      </c>
      <c r="P20" s="19">
        <f t="shared" si="5"/>
        <v>-6.0156249999999716</v>
      </c>
      <c r="Q20" s="20">
        <f t="shared" si="6"/>
        <v>0.95187500000000025</v>
      </c>
      <c r="R20" s="170"/>
      <c r="S20" s="27">
        <v>0.2673611111111111</v>
      </c>
      <c r="T20" s="27">
        <v>0.30069444444444443</v>
      </c>
      <c r="U20" s="4">
        <f t="shared" ref="U20:U24" si="22">IF(S20=TIME(17,0,0),"",(S20-T19)*24*60)</f>
        <v>4.9999999999999822</v>
      </c>
      <c r="V20" s="21">
        <f t="shared" si="21"/>
        <v>47.999999999999986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-96.249999999999545</v>
      </c>
      <c r="AF20" s="20">
        <f t="shared" si="9"/>
        <v>0.95187500000000025</v>
      </c>
      <c r="AG20" s="170"/>
    </row>
    <row r="21" spans="1:33" ht="15.75" customHeight="1">
      <c r="A21" s="193" t="s">
        <v>2126</v>
      </c>
      <c r="B21" s="35" t="s">
        <v>78</v>
      </c>
      <c r="C21" s="190" t="s">
        <v>2127</v>
      </c>
      <c r="D21" s="190"/>
      <c r="E21" s="35">
        <v>48.36</v>
      </c>
      <c r="F21" s="4">
        <v>5362</v>
      </c>
      <c r="G21" s="4">
        <f t="shared" si="19"/>
        <v>259306.32</v>
      </c>
      <c r="H21" s="21" t="s">
        <v>133</v>
      </c>
      <c r="I21" s="15">
        <v>17</v>
      </c>
      <c r="J21" s="17">
        <v>2000</v>
      </c>
      <c r="K21" s="16">
        <f t="shared" si="1"/>
        <v>117.64705882352941</v>
      </c>
      <c r="L21" s="15">
        <v>17</v>
      </c>
      <c r="M21" s="17">
        <f t="shared" si="20"/>
        <v>1903.6686390532541</v>
      </c>
      <c r="N21" s="16">
        <f t="shared" si="3"/>
        <v>111.98050817960318</v>
      </c>
      <c r="O21" s="18">
        <f t="shared" si="4"/>
        <v>0</v>
      </c>
      <c r="P21" s="19">
        <f t="shared" si="5"/>
        <v>-5.6665506439262288</v>
      </c>
      <c r="Q21" s="20">
        <f t="shared" si="6"/>
        <v>0.951834319526627</v>
      </c>
      <c r="R21" s="170"/>
      <c r="S21" s="27">
        <v>0.30486111111111108</v>
      </c>
      <c r="T21" s="27">
        <v>0.42222222222222222</v>
      </c>
      <c r="U21" s="4">
        <f t="shared" si="22"/>
        <v>5.9999999999999787</v>
      </c>
      <c r="V21" s="21">
        <f t="shared" si="21"/>
        <v>169.00000000000003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-96.331360946745917</v>
      </c>
      <c r="AF21" s="20">
        <f t="shared" si="9"/>
        <v>0.951834319526627</v>
      </c>
      <c r="AG21" s="170"/>
    </row>
    <row r="22" spans="1:33" ht="15.75" customHeight="1">
      <c r="A22" s="193" t="s">
        <v>2126</v>
      </c>
      <c r="B22" s="35" t="s">
        <v>78</v>
      </c>
      <c r="C22" s="190" t="s">
        <v>94</v>
      </c>
      <c r="D22" s="190"/>
      <c r="E22" s="35">
        <v>50.49</v>
      </c>
      <c r="F22" s="4">
        <v>2190</v>
      </c>
      <c r="G22" s="4">
        <f t="shared" si="19"/>
        <v>110573.1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1904.3478260869547</v>
      </c>
      <c r="N22" s="16">
        <f t="shared" si="3"/>
        <v>126.95652173913031</v>
      </c>
      <c r="O22" s="18">
        <f t="shared" si="4"/>
        <v>0</v>
      </c>
      <c r="P22" s="19">
        <f t="shared" si="5"/>
        <v>-6.3768115942030335</v>
      </c>
      <c r="Q22" s="20">
        <f t="shared" si="6"/>
        <v>0.9521739130434772</v>
      </c>
      <c r="R22" s="170"/>
      <c r="S22" s="27">
        <v>0.70833333333333337</v>
      </c>
      <c r="T22" s="27">
        <v>0.75625000000000009</v>
      </c>
      <c r="U22" s="4" t="str">
        <f t="shared" si="22"/>
        <v/>
      </c>
      <c r="V22" s="21">
        <f t="shared" si="21"/>
        <v>69.000000000000071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-95.652173913045317</v>
      </c>
      <c r="AF22" s="20">
        <f t="shared" si="9"/>
        <v>0.95217391304347732</v>
      </c>
      <c r="AG22" s="170"/>
    </row>
    <row r="23" spans="1:33" ht="15.75" customHeight="1">
      <c r="A23" s="193" t="s">
        <v>2126</v>
      </c>
      <c r="B23" s="35" t="s">
        <v>78</v>
      </c>
      <c r="C23" s="190" t="s">
        <v>96</v>
      </c>
      <c r="D23" s="190"/>
      <c r="E23" s="35">
        <v>57.3</v>
      </c>
      <c r="F23" s="4">
        <v>1890</v>
      </c>
      <c r="G23" s="4">
        <f t="shared" si="19"/>
        <v>108297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1922.0338983050865</v>
      </c>
      <c r="N23" s="16">
        <f t="shared" si="3"/>
        <v>147.84876140808359</v>
      </c>
      <c r="O23" s="18">
        <f t="shared" si="4"/>
        <v>0</v>
      </c>
      <c r="P23" s="19">
        <f t="shared" si="5"/>
        <v>-5.9973924380702499</v>
      </c>
      <c r="Q23" s="20">
        <f t="shared" si="6"/>
        <v>0.96101694915254332</v>
      </c>
      <c r="R23" s="170"/>
      <c r="S23" s="27">
        <v>0.76041666666666674</v>
      </c>
      <c r="T23" s="27">
        <v>0.80138888888888893</v>
      </c>
      <c r="U23" s="4">
        <f t="shared" si="22"/>
        <v>5.9999999999999787</v>
      </c>
      <c r="V23" s="21">
        <f t="shared" si="21"/>
        <v>58.99999999999995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-77.966101694913505</v>
      </c>
      <c r="AF23" s="20">
        <f t="shared" si="9"/>
        <v>0.96101694915254321</v>
      </c>
      <c r="AG23" s="170"/>
    </row>
    <row r="24" spans="1:33" ht="15.75" customHeight="1">
      <c r="A24" s="193" t="s">
        <v>52</v>
      </c>
      <c r="B24" s="35" t="s">
        <v>78</v>
      </c>
      <c r="C24" s="190" t="s">
        <v>95</v>
      </c>
      <c r="D24" s="190"/>
      <c r="E24" s="35">
        <v>53.68</v>
      </c>
      <c r="F24" s="4">
        <v>1647</v>
      </c>
      <c r="G24" s="4">
        <f t="shared" si="19"/>
        <v>88410.96</v>
      </c>
      <c r="H24" s="21" t="s">
        <v>133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1432.1739130434769</v>
      </c>
      <c r="N24" s="16">
        <f t="shared" si="3"/>
        <v>89.510869565217305</v>
      </c>
      <c r="O24" s="18">
        <f t="shared" si="4"/>
        <v>0</v>
      </c>
      <c r="P24" s="19">
        <f t="shared" si="5"/>
        <v>-4.2391304347826946</v>
      </c>
      <c r="Q24" s="20">
        <f t="shared" si="6"/>
        <v>0.95478260869565124</v>
      </c>
      <c r="R24" s="170"/>
      <c r="S24" s="27">
        <v>0.80625000000000002</v>
      </c>
      <c r="T24" s="27">
        <v>0.85416666666666674</v>
      </c>
      <c r="U24" s="4">
        <f t="shared" si="22"/>
        <v>6.9999999999999751</v>
      </c>
      <c r="V24" s="21">
        <f t="shared" si="21"/>
        <v>69.000000000000071</v>
      </c>
      <c r="W24" s="22"/>
      <c r="X24" s="27"/>
      <c r="Y24" s="27"/>
      <c r="Z24" s="27"/>
      <c r="AA24" s="162"/>
      <c r="AB24" s="162"/>
      <c r="AC24" s="24"/>
      <c r="AD24" s="24"/>
      <c r="AE24" s="18">
        <f t="shared" si="8"/>
        <v>-67.826086956523113</v>
      </c>
      <c r="AF24" s="20">
        <f t="shared" si="9"/>
        <v>0.95478260869565124</v>
      </c>
      <c r="AG24" s="170"/>
    </row>
    <row r="25" spans="1:33" ht="15.75" customHeight="1">
      <c r="A25" s="193" t="s">
        <v>2126</v>
      </c>
      <c r="B25" s="35" t="s">
        <v>48</v>
      </c>
      <c r="C25" s="171"/>
      <c r="D25" s="171"/>
      <c r="E25" s="36"/>
      <c r="F25" s="4"/>
      <c r="G25" s="4"/>
      <c r="H25" s="4"/>
      <c r="I25" s="29">
        <v>15.166666666666666</v>
      </c>
      <c r="J25" s="17">
        <v>1916.6666666666667</v>
      </c>
      <c r="K25" s="16">
        <f t="shared" si="1"/>
        <v>126.37362637362638</v>
      </c>
      <c r="L25" s="29">
        <v>15.166666666666666</v>
      </c>
      <c r="M25" s="17">
        <f>AVERAGE(M19:M24)</f>
        <v>1832.2457127481284</v>
      </c>
      <c r="N25" s="16">
        <f t="shared" si="3"/>
        <v>120.80740963174473</v>
      </c>
      <c r="O25" s="18">
        <f t="shared" si="4"/>
        <v>0</v>
      </c>
      <c r="P25" s="19">
        <f t="shared" si="5"/>
        <v>-5.5662167418816466</v>
      </c>
      <c r="Q25" s="20">
        <f t="shared" si="6"/>
        <v>0.95595428491206702</v>
      </c>
      <c r="R25" s="170"/>
      <c r="S25" s="27"/>
      <c r="T25" s="27"/>
      <c r="U25" s="16"/>
      <c r="V25" s="21"/>
      <c r="W25" s="16"/>
      <c r="X25" s="16"/>
      <c r="Y25" s="30">
        <f>SUM(Y19:Y24)</f>
        <v>0</v>
      </c>
      <c r="Z25" s="30">
        <f>SUM(Z19:Z24)</f>
        <v>0</v>
      </c>
      <c r="AA25" s="166"/>
      <c r="AB25" s="166"/>
      <c r="AC25" s="30">
        <v>6</v>
      </c>
      <c r="AD25" s="30">
        <f>SUM(AD19:AD24)</f>
        <v>0</v>
      </c>
      <c r="AE25" s="18">
        <f t="shared" si="8"/>
        <v>-84.420953918538316</v>
      </c>
      <c r="AF25" s="20">
        <f t="shared" si="9"/>
        <v>0.95595428491206702</v>
      </c>
      <c r="AG25" s="170"/>
    </row>
    <row r="26" spans="1:33" ht="15.75" customHeight="1">
      <c r="A26" s="191" t="s">
        <v>54</v>
      </c>
      <c r="B26" s="35" t="s">
        <v>97</v>
      </c>
      <c r="C26" s="190" t="s">
        <v>98</v>
      </c>
      <c r="D26" s="190"/>
      <c r="E26" s="35">
        <v>31.29</v>
      </c>
      <c r="F26" s="4">
        <v>6000</v>
      </c>
      <c r="G26" s="4">
        <f t="shared" ref="G26:G31" si="23">E26*F26</f>
        <v>187740</v>
      </c>
      <c r="H26" s="21">
        <v>2</v>
      </c>
      <c r="I26" s="15">
        <v>18</v>
      </c>
      <c r="J26" s="17">
        <v>2400</v>
      </c>
      <c r="K26" s="16">
        <f t="shared" si="1"/>
        <v>133.33333333333334</v>
      </c>
      <c r="L26" s="15">
        <v>18</v>
      </c>
      <c r="M26" s="17">
        <f t="shared" ref="M26:M31" si="24">F26/V26*60</f>
        <v>2292.993630573249</v>
      </c>
      <c r="N26" s="16">
        <f t="shared" si="3"/>
        <v>127.38853503184717</v>
      </c>
      <c r="O26" s="18">
        <f t="shared" si="4"/>
        <v>0</v>
      </c>
      <c r="P26" s="19">
        <f t="shared" si="5"/>
        <v>-5.9447983014861734</v>
      </c>
      <c r="Q26" s="20">
        <f t="shared" si="6"/>
        <v>0.95541401273885374</v>
      </c>
      <c r="R26" s="170">
        <f>Q32</f>
        <v>0.95486127539209931</v>
      </c>
      <c r="S26" s="27">
        <v>8.3333333333333329E-2</v>
      </c>
      <c r="T26" s="27">
        <v>0.19236111111111109</v>
      </c>
      <c r="U26" s="4"/>
      <c r="V26" s="21">
        <f t="shared" ref="V26:V31" si="25">(T26-S26)*24*60</f>
        <v>156.99999999999997</v>
      </c>
      <c r="W26" s="22">
        <f>T26</f>
        <v>0.19236111111111109</v>
      </c>
      <c r="X26" s="22">
        <f>S27</f>
        <v>0.21180555555555555</v>
      </c>
      <c r="Y26" s="22"/>
      <c r="Z26" s="22"/>
      <c r="AA26" s="162"/>
      <c r="AB26" s="162"/>
      <c r="AC26" s="24">
        <v>6</v>
      </c>
      <c r="AD26" s="24"/>
      <c r="AE26" s="18">
        <f t="shared" si="8"/>
        <v>-107.00636942675101</v>
      </c>
      <c r="AF26" s="20">
        <f t="shared" si="9"/>
        <v>0.95541401273885374</v>
      </c>
      <c r="AG26" s="170">
        <f>AF32</f>
        <v>0.9548612753920992</v>
      </c>
    </row>
    <row r="27" spans="1:33" ht="15.75" customHeight="1">
      <c r="A27" s="191" t="s">
        <v>54</v>
      </c>
      <c r="B27" s="35" t="s">
        <v>97</v>
      </c>
      <c r="C27" s="190" t="s">
        <v>99</v>
      </c>
      <c r="D27" s="190"/>
      <c r="E27" s="35">
        <v>25.98</v>
      </c>
      <c r="F27" s="4">
        <v>3235</v>
      </c>
      <c r="G27" s="4">
        <f t="shared" si="23"/>
        <v>84045.3</v>
      </c>
      <c r="H27" s="21" t="s">
        <v>133</v>
      </c>
      <c r="I27" s="15">
        <v>21</v>
      </c>
      <c r="J27" s="17">
        <v>2400</v>
      </c>
      <c r="K27" s="16">
        <f t="shared" si="1"/>
        <v>114.28571428571429</v>
      </c>
      <c r="L27" s="15">
        <v>21</v>
      </c>
      <c r="M27" s="17">
        <f t="shared" si="24"/>
        <v>2283.5294117647063</v>
      </c>
      <c r="N27" s="16">
        <f t="shared" si="3"/>
        <v>108.73949579831935</v>
      </c>
      <c r="O27" s="18">
        <f t="shared" si="4"/>
        <v>0</v>
      </c>
      <c r="P27" s="19">
        <f t="shared" si="5"/>
        <v>-5.5462184873949383</v>
      </c>
      <c r="Q27" s="20">
        <f t="shared" si="6"/>
        <v>0.95147058823529429</v>
      </c>
      <c r="R27" s="170"/>
      <c r="S27" s="27">
        <v>0.21180555555555555</v>
      </c>
      <c r="T27" s="27">
        <v>0.27083333333333331</v>
      </c>
      <c r="U27" s="4">
        <f t="shared" ref="U27:U31" si="26">(S27-T26)*24*60</f>
        <v>28.000000000000021</v>
      </c>
      <c r="V27" s="21">
        <f t="shared" si="25"/>
        <v>84.999999999999972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-116.47058823529369</v>
      </c>
      <c r="AF27" s="20">
        <f t="shared" si="9"/>
        <v>0.95147058823529429</v>
      </c>
      <c r="AG27" s="170"/>
    </row>
    <row r="28" spans="1:33" ht="15.75" customHeight="1">
      <c r="A28" s="191" t="s">
        <v>54</v>
      </c>
      <c r="B28" s="35" t="s">
        <v>97</v>
      </c>
      <c r="C28" s="190" t="s">
        <v>100</v>
      </c>
      <c r="D28" s="190"/>
      <c r="E28" s="35">
        <v>26.2</v>
      </c>
      <c r="F28" s="4">
        <v>5614</v>
      </c>
      <c r="G28" s="4">
        <f t="shared" si="23"/>
        <v>147086.79999999999</v>
      </c>
      <c r="H28" s="21" t="s">
        <v>133</v>
      </c>
      <c r="I28" s="15">
        <v>20</v>
      </c>
      <c r="J28" s="17">
        <v>2400</v>
      </c>
      <c r="K28" s="16">
        <f t="shared" si="1"/>
        <v>120</v>
      </c>
      <c r="L28" s="15">
        <v>20</v>
      </c>
      <c r="M28" s="17">
        <f t="shared" si="24"/>
        <v>2291.4285714285711</v>
      </c>
      <c r="N28" s="16">
        <f t="shared" si="3"/>
        <v>114.57142857142856</v>
      </c>
      <c r="O28" s="18">
        <f t="shared" si="4"/>
        <v>0</v>
      </c>
      <c r="P28" s="19">
        <f t="shared" si="5"/>
        <v>-5.4285714285714448</v>
      </c>
      <c r="Q28" s="20">
        <f t="shared" si="6"/>
        <v>0.95476190476190459</v>
      </c>
      <c r="R28" s="170"/>
      <c r="S28" s="27">
        <v>0.27499999999999997</v>
      </c>
      <c r="T28" s="27">
        <v>0.37708333333333333</v>
      </c>
      <c r="U28" s="4">
        <f t="shared" si="26"/>
        <v>5.9999999999999787</v>
      </c>
      <c r="V28" s="21">
        <f t="shared" si="25"/>
        <v>147.00000000000003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-108.5714285714289</v>
      </c>
      <c r="AF28" s="20">
        <f t="shared" si="9"/>
        <v>0.95476190476190459</v>
      </c>
      <c r="AG28" s="170"/>
    </row>
    <row r="29" spans="1:33" ht="15.75" customHeight="1">
      <c r="A29" s="191" t="s">
        <v>54</v>
      </c>
      <c r="B29" s="35" t="s">
        <v>97</v>
      </c>
      <c r="C29" s="190" t="s">
        <v>101</v>
      </c>
      <c r="D29" s="190"/>
      <c r="E29" s="35">
        <v>25.99</v>
      </c>
      <c r="F29" s="4">
        <v>4357</v>
      </c>
      <c r="G29" s="4">
        <f t="shared" si="23"/>
        <v>113238.43</v>
      </c>
      <c r="H29" s="21" t="s">
        <v>133</v>
      </c>
      <c r="I29" s="15">
        <v>14</v>
      </c>
      <c r="J29" s="17">
        <v>2400</v>
      </c>
      <c r="K29" s="16">
        <f t="shared" si="1"/>
        <v>171.42857142857142</v>
      </c>
      <c r="L29" s="15">
        <v>14</v>
      </c>
      <c r="M29" s="17">
        <f t="shared" si="24"/>
        <v>2293.1578947368421</v>
      </c>
      <c r="N29" s="16">
        <f t="shared" si="3"/>
        <v>163.79699248120301</v>
      </c>
      <c r="O29" s="18">
        <f t="shared" si="4"/>
        <v>0</v>
      </c>
      <c r="P29" s="19">
        <f t="shared" si="5"/>
        <v>-7.6315789473684106</v>
      </c>
      <c r="Q29" s="20">
        <f t="shared" si="6"/>
        <v>0.95548245614035099</v>
      </c>
      <c r="R29" s="170"/>
      <c r="S29" s="27">
        <v>0.38263888888888886</v>
      </c>
      <c r="T29" s="27">
        <v>0.46180555555555552</v>
      </c>
      <c r="U29" s="4">
        <f t="shared" si="26"/>
        <v>7.9999999999999716</v>
      </c>
      <c r="V29" s="21">
        <f t="shared" si="25"/>
        <v>114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-106.84210526315792</v>
      </c>
      <c r="AF29" s="20">
        <f t="shared" si="9"/>
        <v>0.95548245614035088</v>
      </c>
      <c r="AG29" s="170"/>
    </row>
    <row r="30" spans="1:33" ht="15.75" customHeight="1">
      <c r="A30" s="191" t="s">
        <v>54</v>
      </c>
      <c r="B30" s="35" t="s">
        <v>97</v>
      </c>
      <c r="C30" s="190" t="s">
        <v>102</v>
      </c>
      <c r="D30" s="190"/>
      <c r="E30" s="35">
        <v>26.18</v>
      </c>
      <c r="F30" s="4">
        <v>1843</v>
      </c>
      <c r="G30" s="4">
        <f t="shared" si="23"/>
        <v>48249.74</v>
      </c>
      <c r="H30" s="21" t="s">
        <v>133</v>
      </c>
      <c r="I30" s="15">
        <v>19</v>
      </c>
      <c r="J30" s="17">
        <v>2400</v>
      </c>
      <c r="K30" s="16">
        <f t="shared" si="1"/>
        <v>126.31578947368421</v>
      </c>
      <c r="L30" s="15">
        <v>19</v>
      </c>
      <c r="M30" s="17">
        <f t="shared" si="24"/>
        <v>2303.7500000000005</v>
      </c>
      <c r="N30" s="16">
        <f t="shared" si="3"/>
        <v>121.25000000000003</v>
      </c>
      <c r="O30" s="18">
        <f t="shared" si="4"/>
        <v>0</v>
      </c>
      <c r="P30" s="19">
        <f t="shared" si="5"/>
        <v>-5.0657894736841769</v>
      </c>
      <c r="Q30" s="20">
        <f t="shared" si="6"/>
        <v>0.95989583333333361</v>
      </c>
      <c r="R30" s="170"/>
      <c r="S30" s="27">
        <v>0.46666666666666662</v>
      </c>
      <c r="T30" s="27">
        <v>0.49999999999999994</v>
      </c>
      <c r="U30" s="4">
        <f t="shared" si="26"/>
        <v>6.9999999999999751</v>
      </c>
      <c r="V30" s="21">
        <f t="shared" si="25"/>
        <v>47.999999999999986</v>
      </c>
      <c r="W30" s="22">
        <f>T30</f>
        <v>0.49999999999999994</v>
      </c>
      <c r="X30" s="22">
        <f>S31</f>
        <v>0.53888888888888886</v>
      </c>
      <c r="Y30" s="22"/>
      <c r="Z30" s="22"/>
      <c r="AA30" s="162"/>
      <c r="AB30" s="162"/>
      <c r="AC30" s="24"/>
      <c r="AD30" s="24"/>
      <c r="AE30" s="18">
        <f t="shared" si="8"/>
        <v>-96.249999999999545</v>
      </c>
      <c r="AF30" s="20">
        <f t="shared" si="9"/>
        <v>0.9598958333333335</v>
      </c>
      <c r="AG30" s="170"/>
    </row>
    <row r="31" spans="1:33" ht="15.75" customHeight="1">
      <c r="A31" s="191" t="s">
        <v>2128</v>
      </c>
      <c r="B31" s="35" t="s">
        <v>97</v>
      </c>
      <c r="C31" s="190" t="s">
        <v>98</v>
      </c>
      <c r="D31" s="190"/>
      <c r="E31" s="35">
        <v>31.29</v>
      </c>
      <c r="F31" s="4">
        <v>3999</v>
      </c>
      <c r="G31" s="4">
        <f t="shared" si="23"/>
        <v>125128.70999999999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4"/>
        <v>2285.1428571428582</v>
      </c>
      <c r="N31" s="16">
        <f t="shared" si="3"/>
        <v>126.95238095238102</v>
      </c>
      <c r="O31" s="18">
        <f t="shared" si="4"/>
        <v>0</v>
      </c>
      <c r="P31" s="19">
        <f t="shared" si="5"/>
        <v>-6.3809523809523228</v>
      </c>
      <c r="Q31" s="20">
        <f t="shared" si="6"/>
        <v>0.95214285714285762</v>
      </c>
      <c r="R31" s="170"/>
      <c r="S31" s="27">
        <v>0.53888888888888886</v>
      </c>
      <c r="T31" s="27">
        <v>0.61180555555555549</v>
      </c>
      <c r="U31" s="4">
        <f t="shared" si="26"/>
        <v>56.000000000000043</v>
      </c>
      <c r="V31" s="21">
        <f t="shared" si="25"/>
        <v>104.99999999999994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-114.85714285714175</v>
      </c>
      <c r="AF31" s="20">
        <f t="shared" si="9"/>
        <v>0.95214285714285762</v>
      </c>
      <c r="AG31" s="170"/>
    </row>
    <row r="32" spans="1:33" ht="15.75" customHeight="1">
      <c r="A32" s="191" t="s">
        <v>2128</v>
      </c>
      <c r="B32" s="35" t="s">
        <v>2122</v>
      </c>
      <c r="C32" s="171"/>
      <c r="D32" s="171"/>
      <c r="E32" s="36"/>
      <c r="F32" s="4"/>
      <c r="G32" s="4"/>
      <c r="H32" s="4"/>
      <c r="I32" s="29">
        <v>18.333333333333332</v>
      </c>
      <c r="J32" s="17">
        <v>2400</v>
      </c>
      <c r="K32" s="16">
        <f t="shared" si="1"/>
        <v>130.90909090909091</v>
      </c>
      <c r="L32" s="29">
        <v>18.333333333333332</v>
      </c>
      <c r="M32" s="17">
        <f>AVERAGE(M26:M31)</f>
        <v>2291.667060941038</v>
      </c>
      <c r="N32" s="16">
        <f t="shared" si="3"/>
        <v>125.00002150587481</v>
      </c>
      <c r="O32" s="18">
        <f t="shared" si="4"/>
        <v>0</v>
      </c>
      <c r="P32" s="19">
        <f t="shared" si="5"/>
        <v>-5.909069403216094</v>
      </c>
      <c r="Q32" s="20">
        <f t="shared" si="6"/>
        <v>0.95486127539209931</v>
      </c>
      <c r="R32" s="170"/>
      <c r="S32" s="27"/>
      <c r="T32" s="27"/>
      <c r="U32" s="4"/>
      <c r="V32" s="21"/>
      <c r="W32" s="4"/>
      <c r="X32" s="4"/>
      <c r="Y32" s="30">
        <f>SUM(Y26:Y31)</f>
        <v>0</v>
      </c>
      <c r="Z32" s="30">
        <f>SUM(Z26:Z31)</f>
        <v>0</v>
      </c>
      <c r="AA32" s="166"/>
      <c r="AB32" s="166"/>
      <c r="AC32" s="30">
        <v>6</v>
      </c>
      <c r="AD32" s="30">
        <f>SUM(AD26:AD31)</f>
        <v>0</v>
      </c>
      <c r="AE32" s="18">
        <f t="shared" si="8"/>
        <v>-108.33293905896198</v>
      </c>
      <c r="AF32" s="20">
        <f t="shared" si="9"/>
        <v>0.9548612753920992</v>
      </c>
      <c r="AG32" s="170"/>
    </row>
    <row r="33" spans="1:33" ht="15.75" customHeight="1">
      <c r="A33" s="188" t="s">
        <v>59</v>
      </c>
      <c r="B33" s="35" t="s">
        <v>97</v>
      </c>
      <c r="C33" s="163" t="s">
        <v>103</v>
      </c>
      <c r="D33" s="163"/>
      <c r="E33" s="35">
        <v>26.2</v>
      </c>
      <c r="F33" s="4">
        <v>4600</v>
      </c>
      <c r="G33" s="4">
        <f t="shared" ref="G33:G39" si="27">E33*F33</f>
        <v>120520</v>
      </c>
      <c r="H33" s="21">
        <v>2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ref="M33:M39" si="28">F33/V33*60</f>
        <v>2300</v>
      </c>
      <c r="N33" s="16">
        <f t="shared" si="3"/>
        <v>127.77777777777777</v>
      </c>
      <c r="O33" s="18">
        <f t="shared" si="4"/>
        <v>0</v>
      </c>
      <c r="P33" s="19">
        <f t="shared" si="5"/>
        <v>-5.5555555555555713</v>
      </c>
      <c r="Q33" s="20">
        <f t="shared" si="6"/>
        <v>0.95833333333333326</v>
      </c>
      <c r="R33" s="170">
        <f>Q40</f>
        <v>0.95585182164216909</v>
      </c>
      <c r="S33" s="27">
        <v>8.3333333333333329E-2</v>
      </c>
      <c r="T33" s="27">
        <v>0.16666666666666666</v>
      </c>
      <c r="U33" s="4"/>
      <c r="V33" s="21">
        <f t="shared" ref="V33:V39" si="29">(T33-S33)*24*60</f>
        <v>120</v>
      </c>
      <c r="W33" s="27">
        <f>T33</f>
        <v>0.16666666666666666</v>
      </c>
      <c r="X33" s="27">
        <f>S34</f>
        <v>0.18611111111111109</v>
      </c>
      <c r="Y33" s="27"/>
      <c r="Z33" s="27"/>
      <c r="AA33" s="162"/>
      <c r="AB33" s="162"/>
      <c r="AC33" s="24">
        <v>7</v>
      </c>
      <c r="AD33" s="24"/>
      <c r="AE33" s="18">
        <f t="shared" si="8"/>
        <v>-100</v>
      </c>
      <c r="AF33" s="20">
        <f t="shared" si="9"/>
        <v>0.95833333333333337</v>
      </c>
      <c r="AG33" s="170">
        <f>AF40</f>
        <v>0.9558518216421692</v>
      </c>
    </row>
    <row r="34" spans="1:33" ht="15.75" customHeight="1">
      <c r="A34" s="188" t="s">
        <v>59</v>
      </c>
      <c r="B34" s="35" t="s">
        <v>97</v>
      </c>
      <c r="C34" s="163" t="s">
        <v>104</v>
      </c>
      <c r="D34" s="163"/>
      <c r="E34" s="35">
        <v>20.52</v>
      </c>
      <c r="F34" s="4">
        <v>4095</v>
      </c>
      <c r="G34" s="4">
        <f t="shared" si="27"/>
        <v>84029.4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2296.2616822429909</v>
      </c>
      <c r="N34" s="16">
        <f t="shared" si="3"/>
        <v>127.57009345794394</v>
      </c>
      <c r="O34" s="18">
        <f t="shared" si="4"/>
        <v>0</v>
      </c>
      <c r="P34" s="19">
        <f t="shared" si="5"/>
        <v>-5.7632398753894023</v>
      </c>
      <c r="Q34" s="20">
        <f t="shared" si="6"/>
        <v>0.95677570093457953</v>
      </c>
      <c r="R34" s="170"/>
      <c r="S34" s="27">
        <v>0.18611111111111109</v>
      </c>
      <c r="T34" s="27">
        <v>0.26041666666666663</v>
      </c>
      <c r="U34" s="4">
        <f t="shared" ref="U34:U39" si="30">(S34-T33)*24*60</f>
        <v>27.999999999999979</v>
      </c>
      <c r="V34" s="21">
        <f t="shared" si="29"/>
        <v>106.99999999999999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-103.7383177570091</v>
      </c>
      <c r="AF34" s="20">
        <f t="shared" si="9"/>
        <v>0.95677570093457953</v>
      </c>
      <c r="AG34" s="170"/>
    </row>
    <row r="35" spans="1:33">
      <c r="A35" s="189" t="s">
        <v>2129</v>
      </c>
      <c r="B35" s="35" t="s">
        <v>97</v>
      </c>
      <c r="C35" s="163" t="s">
        <v>105</v>
      </c>
      <c r="D35" s="163"/>
      <c r="E35" s="35">
        <v>26.39</v>
      </c>
      <c r="F35" s="4">
        <v>4100</v>
      </c>
      <c r="G35" s="4">
        <f t="shared" si="27"/>
        <v>108199</v>
      </c>
      <c r="H35" s="21">
        <v>2</v>
      </c>
      <c r="I35" s="15">
        <v>19</v>
      </c>
      <c r="J35" s="17">
        <v>2400</v>
      </c>
      <c r="K35" s="16">
        <f t="shared" si="1"/>
        <v>126.31578947368421</v>
      </c>
      <c r="L35" s="15">
        <v>19</v>
      </c>
      <c r="M35" s="17">
        <f t="shared" si="28"/>
        <v>2299.0654205607475</v>
      </c>
      <c r="N35" s="16">
        <f t="shared" si="3"/>
        <v>121.00344318740777</v>
      </c>
      <c r="O35" s="18">
        <f t="shared" si="4"/>
        <v>0</v>
      </c>
      <c r="P35" s="19">
        <f t="shared" si="5"/>
        <v>-5.312346286276437</v>
      </c>
      <c r="Q35" s="20">
        <f t="shared" si="6"/>
        <v>0.95794392523364491</v>
      </c>
      <c r="R35" s="170"/>
      <c r="S35" s="27">
        <v>0.26388888888888884</v>
      </c>
      <c r="T35" s="27">
        <v>0.33819444444444441</v>
      </c>
      <c r="U35" s="4">
        <f t="shared" si="30"/>
        <v>4.9999999999999822</v>
      </c>
      <c r="V35" s="21">
        <f t="shared" si="29"/>
        <v>107.00000000000001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-100.9345794392525</v>
      </c>
      <c r="AF35" s="20">
        <f t="shared" si="9"/>
        <v>0.9579439252336448</v>
      </c>
      <c r="AG35" s="170"/>
    </row>
    <row r="36" spans="1:33">
      <c r="A36" s="189" t="s">
        <v>2129</v>
      </c>
      <c r="B36" s="35" t="s">
        <v>97</v>
      </c>
      <c r="C36" s="163" t="s">
        <v>107</v>
      </c>
      <c r="D36" s="163"/>
      <c r="E36" s="35">
        <v>20.52</v>
      </c>
      <c r="F36" s="4">
        <v>3168</v>
      </c>
      <c r="G36" s="4">
        <f t="shared" si="27"/>
        <v>65007.360000000001</v>
      </c>
      <c r="H36" s="21" t="s">
        <v>133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2290.12048192771</v>
      </c>
      <c r="N36" s="16">
        <f t="shared" si="3"/>
        <v>127.22891566265055</v>
      </c>
      <c r="O36" s="18">
        <f t="shared" si="4"/>
        <v>0</v>
      </c>
      <c r="P36" s="19">
        <f t="shared" si="5"/>
        <v>-6.1044176706827926</v>
      </c>
      <c r="Q36" s="20">
        <f t="shared" si="6"/>
        <v>0.9542168674698791</v>
      </c>
      <c r="R36" s="170"/>
      <c r="S36" s="27">
        <v>0.34374999999999994</v>
      </c>
      <c r="T36" s="27">
        <v>0.40138888888888885</v>
      </c>
      <c r="U36" s="4">
        <f t="shared" si="30"/>
        <v>7.9999999999999716</v>
      </c>
      <c r="V36" s="21">
        <f t="shared" si="29"/>
        <v>83.000000000000028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-109.87951807229001</v>
      </c>
      <c r="AF36" s="20">
        <f t="shared" si="9"/>
        <v>0.95421686746987922</v>
      </c>
      <c r="AG36" s="170"/>
    </row>
    <row r="37" spans="1:33">
      <c r="A37" s="189" t="s">
        <v>59</v>
      </c>
      <c r="B37" s="35" t="s">
        <v>97</v>
      </c>
      <c r="C37" s="163" t="s">
        <v>304</v>
      </c>
      <c r="D37" s="163"/>
      <c r="E37" s="35">
        <v>22.69</v>
      </c>
      <c r="F37" s="4">
        <v>6021</v>
      </c>
      <c r="G37" s="4">
        <f t="shared" si="27"/>
        <v>136616.49000000002</v>
      </c>
      <c r="H37" s="21" t="s">
        <v>133</v>
      </c>
      <c r="I37" s="15">
        <v>15</v>
      </c>
      <c r="J37" s="17">
        <v>2400</v>
      </c>
      <c r="K37" s="16">
        <f t="shared" si="1"/>
        <v>160</v>
      </c>
      <c r="L37" s="15">
        <v>15</v>
      </c>
      <c r="M37" s="17">
        <f t="shared" si="28"/>
        <v>2286.4556962025317</v>
      </c>
      <c r="N37" s="16">
        <f t="shared" si="3"/>
        <v>152.43037974683546</v>
      </c>
      <c r="O37" s="18">
        <f t="shared" si="4"/>
        <v>0</v>
      </c>
      <c r="P37" s="19">
        <f t="shared" si="5"/>
        <v>-7.569620253164544</v>
      </c>
      <c r="Q37" s="20">
        <f t="shared" si="6"/>
        <v>0.9526898734177216</v>
      </c>
      <c r="R37" s="170"/>
      <c r="S37" s="27">
        <v>0.4055555555555555</v>
      </c>
      <c r="T37" s="27">
        <v>0.51527777777777772</v>
      </c>
      <c r="U37" s="4">
        <f t="shared" si="30"/>
        <v>5.9999999999999787</v>
      </c>
      <c r="V37" s="21">
        <f t="shared" si="29"/>
        <v>158</v>
      </c>
      <c r="W37" s="22">
        <f>T37</f>
        <v>0.51527777777777772</v>
      </c>
      <c r="X37" s="22">
        <f>S38</f>
        <v>0.55555555555555547</v>
      </c>
      <c r="Y37" s="22"/>
      <c r="Z37" s="22"/>
      <c r="AA37" s="162"/>
      <c r="AB37" s="162"/>
      <c r="AC37" s="24"/>
      <c r="AD37" s="24"/>
      <c r="AE37" s="18">
        <f t="shared" si="8"/>
        <v>-113.54430379746827</v>
      </c>
      <c r="AF37" s="20">
        <f t="shared" si="9"/>
        <v>0.9526898734177216</v>
      </c>
      <c r="AG37" s="170"/>
    </row>
    <row r="38" spans="1:33">
      <c r="A38" s="189" t="s">
        <v>2130</v>
      </c>
      <c r="B38" s="35" t="s">
        <v>97</v>
      </c>
      <c r="C38" s="163" t="s">
        <v>103</v>
      </c>
      <c r="D38" s="163"/>
      <c r="E38" s="35">
        <v>26.2</v>
      </c>
      <c r="F38" s="4">
        <v>2633</v>
      </c>
      <c r="G38" s="4">
        <f t="shared" si="27"/>
        <v>68984.599999999991</v>
      </c>
      <c r="H38" s="21" t="s">
        <v>133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2289.5652173913022</v>
      </c>
      <c r="N38" s="16">
        <f t="shared" si="3"/>
        <v>127.19806763285013</v>
      </c>
      <c r="O38" s="18">
        <f t="shared" si="4"/>
        <v>0</v>
      </c>
      <c r="P38" s="19">
        <f t="shared" si="5"/>
        <v>-6.1352657004832167</v>
      </c>
      <c r="Q38" s="20">
        <f t="shared" si="6"/>
        <v>0.95398550724637587</v>
      </c>
      <c r="R38" s="170"/>
      <c r="S38" s="27">
        <v>0.55555555555555547</v>
      </c>
      <c r="T38" s="27">
        <v>0.60347222222222219</v>
      </c>
      <c r="U38" s="4">
        <f t="shared" si="30"/>
        <v>57.999999999999957</v>
      </c>
      <c r="V38" s="21">
        <f t="shared" si="29"/>
        <v>69.000000000000071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-110.43478260869779</v>
      </c>
      <c r="AF38" s="20">
        <f t="shared" si="9"/>
        <v>0.95398550724637587</v>
      </c>
      <c r="AG38" s="170"/>
    </row>
    <row r="39" spans="1:33">
      <c r="A39" s="189" t="s">
        <v>59</v>
      </c>
      <c r="B39" s="35" t="s">
        <v>97</v>
      </c>
      <c r="C39" s="163" t="s">
        <v>105</v>
      </c>
      <c r="D39" s="163"/>
      <c r="E39" s="35">
        <v>26.39</v>
      </c>
      <c r="F39" s="4">
        <v>2182</v>
      </c>
      <c r="G39" s="4">
        <f t="shared" si="27"/>
        <v>57582.98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2296.8421052631597</v>
      </c>
      <c r="N39" s="16">
        <f t="shared" si="3"/>
        <v>120.88642659279787</v>
      </c>
      <c r="O39" s="18">
        <f t="shared" si="4"/>
        <v>0</v>
      </c>
      <c r="P39" s="19">
        <f t="shared" si="5"/>
        <v>-5.4293628808863303</v>
      </c>
      <c r="Q39" s="20">
        <f t="shared" si="6"/>
        <v>0.95701754385964988</v>
      </c>
      <c r="R39" s="170"/>
      <c r="S39" s="27">
        <v>0.60763888888888884</v>
      </c>
      <c r="T39" s="27">
        <v>0.64722222222222214</v>
      </c>
      <c r="U39" s="4">
        <f t="shared" si="30"/>
        <v>5.9999999999999787</v>
      </c>
      <c r="V39" s="21">
        <f t="shared" si="29"/>
        <v>56.999999999999957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-103.15789473684026</v>
      </c>
      <c r="AF39" s="20">
        <f t="shared" si="9"/>
        <v>0.95701754385964988</v>
      </c>
      <c r="AG39" s="170"/>
    </row>
    <row r="40" spans="1:33">
      <c r="A40" s="189" t="s">
        <v>59</v>
      </c>
      <c r="B40" s="16" t="s">
        <v>2131</v>
      </c>
      <c r="C40" s="171"/>
      <c r="D40" s="171"/>
      <c r="E40" s="36"/>
      <c r="F40" s="16"/>
      <c r="G40" s="16"/>
      <c r="H40" s="4"/>
      <c r="I40" s="29">
        <v>17.857142857142858</v>
      </c>
      <c r="J40" s="17">
        <v>2400</v>
      </c>
      <c r="K40" s="16">
        <f t="shared" si="1"/>
        <v>134.4</v>
      </c>
      <c r="L40" s="29">
        <v>17.857142857142858</v>
      </c>
      <c r="M40" s="17">
        <f>AVERAGE(M33:M39)</f>
        <v>2294.044371941206</v>
      </c>
      <c r="N40" s="16">
        <f t="shared" si="3"/>
        <v>128.46648482870754</v>
      </c>
      <c r="O40" s="18">
        <f t="shared" si="4"/>
        <v>0</v>
      </c>
      <c r="P40" s="19">
        <f t="shared" si="5"/>
        <v>-5.9335151712924699</v>
      </c>
      <c r="Q40" s="20">
        <f t="shared" si="6"/>
        <v>0.95585182164216909</v>
      </c>
      <c r="R40" s="170"/>
      <c r="S40" s="27"/>
      <c r="T40" s="27"/>
      <c r="U40" s="16"/>
      <c r="V40" s="21"/>
      <c r="W40" s="16"/>
      <c r="X40" s="16"/>
      <c r="Y40" s="30">
        <f>SUM(Y33:Y39)</f>
        <v>0</v>
      </c>
      <c r="Z40" s="30">
        <f>SUM(Z33:Z39)</f>
        <v>0</v>
      </c>
      <c r="AA40" s="166"/>
      <c r="AB40" s="166"/>
      <c r="AC40" s="30">
        <v>7</v>
      </c>
      <c r="AD40" s="30">
        <f>SUM(AD33:AD39)</f>
        <v>0</v>
      </c>
      <c r="AE40" s="18">
        <f t="shared" si="8"/>
        <v>-105.95562805879399</v>
      </c>
      <c r="AF40" s="20">
        <f t="shared" si="9"/>
        <v>0.9558518216421692</v>
      </c>
      <c r="AG40" s="170"/>
    </row>
    <row r="41" spans="1:33" ht="15.75" customHeight="1">
      <c r="A41" s="182" t="s">
        <v>67</v>
      </c>
      <c r="B41" s="35" t="s">
        <v>108</v>
      </c>
      <c r="C41" s="174" t="s">
        <v>1514</v>
      </c>
      <c r="D41" s="175"/>
      <c r="E41" s="35">
        <v>34.35</v>
      </c>
      <c r="F41" s="4">
        <v>2668</v>
      </c>
      <c r="G41" s="4">
        <f t="shared" ref="G41:G45" si="31">E41*F41</f>
        <v>91645.8</v>
      </c>
      <c r="H41" s="21" t="s">
        <v>133</v>
      </c>
      <c r="I41" s="15">
        <v>8</v>
      </c>
      <c r="J41" s="17">
        <v>3000</v>
      </c>
      <c r="K41" s="16">
        <f t="shared" si="1"/>
        <v>375</v>
      </c>
      <c r="L41" s="15">
        <v>8</v>
      </c>
      <c r="M41" s="17">
        <f t="shared" ref="M41:M45" si="32">F41/V41*60</f>
        <v>2858.5714285714289</v>
      </c>
      <c r="N41" s="17">
        <f t="shared" si="3"/>
        <v>357.32142857142861</v>
      </c>
      <c r="O41" s="18">
        <f t="shared" si="4"/>
        <v>0</v>
      </c>
      <c r="P41" s="19">
        <f t="shared" si="5"/>
        <v>-17.678571428571388</v>
      </c>
      <c r="Q41" s="20">
        <f t="shared" si="6"/>
        <v>0.95285714285714296</v>
      </c>
      <c r="R41" s="185">
        <f>Q46</f>
        <v>0.95316560890823221</v>
      </c>
      <c r="S41" s="27">
        <v>8.3333333333333329E-2</v>
      </c>
      <c r="T41" s="27">
        <v>0.12222222222222222</v>
      </c>
      <c r="U41" s="27"/>
      <c r="V41" s="21">
        <f t="shared" ref="V41:V45" si="33">(T41-S41)*24*60</f>
        <v>56</v>
      </c>
      <c r="W41" s="22">
        <f>T41</f>
        <v>0.12222222222222222</v>
      </c>
      <c r="X41" s="22">
        <f>S42</f>
        <v>0.14027777777777775</v>
      </c>
      <c r="Y41" s="25"/>
      <c r="Z41" s="25"/>
      <c r="AA41" s="176"/>
      <c r="AB41" s="177"/>
      <c r="AC41" s="24">
        <v>5</v>
      </c>
      <c r="AD41" s="24"/>
      <c r="AE41" s="18">
        <f t="shared" si="8"/>
        <v>-141.4285714285711</v>
      </c>
      <c r="AF41" s="20">
        <f t="shared" si="9"/>
        <v>0.95285714285714296</v>
      </c>
      <c r="AG41" s="185">
        <f>AF46</f>
        <v>0.9531656089082321</v>
      </c>
    </row>
    <row r="42" spans="1:33" ht="15.75" customHeight="1">
      <c r="A42" s="183" t="s">
        <v>67</v>
      </c>
      <c r="B42" s="35" t="s">
        <v>108</v>
      </c>
      <c r="C42" s="174" t="s">
        <v>111</v>
      </c>
      <c r="D42" s="175"/>
      <c r="E42" s="35">
        <v>21.13</v>
      </c>
      <c r="F42" s="4">
        <v>5771</v>
      </c>
      <c r="G42" s="4">
        <f t="shared" si="31"/>
        <v>121941.23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2861.6528925619837</v>
      </c>
      <c r="N42" s="17">
        <f t="shared" si="3"/>
        <v>286.16528925619838</v>
      </c>
      <c r="O42" s="18">
        <f t="shared" si="4"/>
        <v>0</v>
      </c>
      <c r="P42" s="19">
        <f t="shared" si="5"/>
        <v>-13.834710743801622</v>
      </c>
      <c r="Q42" s="20">
        <f t="shared" si="6"/>
        <v>0.95388429752066128</v>
      </c>
      <c r="R42" s="186"/>
      <c r="S42" s="27">
        <v>0.14027777777777775</v>
      </c>
      <c r="T42" s="27">
        <v>0.22430555555555554</v>
      </c>
      <c r="U42" s="4">
        <f t="shared" ref="U42:U45" si="34">(S42-T41)*24*60</f>
        <v>25.999999999999968</v>
      </c>
      <c r="V42" s="21">
        <f t="shared" si="33"/>
        <v>121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-138.34710743801634</v>
      </c>
      <c r="AF42" s="20">
        <f t="shared" si="9"/>
        <v>0.95388429752066117</v>
      </c>
      <c r="AG42" s="186"/>
    </row>
    <row r="43" spans="1:33" ht="15.75" customHeight="1">
      <c r="A43" s="183" t="s">
        <v>67</v>
      </c>
      <c r="B43" s="35" t="s">
        <v>108</v>
      </c>
      <c r="C43" s="174" t="s">
        <v>112</v>
      </c>
      <c r="D43" s="175"/>
      <c r="E43" s="35">
        <v>27.17</v>
      </c>
      <c r="F43" s="4">
        <v>7381</v>
      </c>
      <c r="G43" s="4">
        <f t="shared" si="31"/>
        <v>200541.77000000002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2857.16129032258</v>
      </c>
      <c r="N43" s="17">
        <f t="shared" si="3"/>
        <v>285.71612903225798</v>
      </c>
      <c r="O43" s="18">
        <f t="shared" si="4"/>
        <v>0</v>
      </c>
      <c r="P43" s="19">
        <f t="shared" si="5"/>
        <v>-14.283870967742018</v>
      </c>
      <c r="Q43" s="20">
        <f t="shared" si="6"/>
        <v>0.95238709677419331</v>
      </c>
      <c r="R43" s="186"/>
      <c r="S43" s="27">
        <v>0.22847222222222222</v>
      </c>
      <c r="T43" s="27">
        <v>0.33611111111111114</v>
      </c>
      <c r="U43" s="4">
        <f t="shared" si="34"/>
        <v>6.0000000000000187</v>
      </c>
      <c r="V43" s="21">
        <f t="shared" si="33"/>
        <v>155.00000000000003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-142.83870967741996</v>
      </c>
      <c r="AF43" s="20">
        <f t="shared" si="9"/>
        <v>0.95238709677419331</v>
      </c>
      <c r="AG43" s="186"/>
    </row>
    <row r="44" spans="1:33" ht="15.75" customHeight="1">
      <c r="A44" s="183" t="s">
        <v>67</v>
      </c>
      <c r="B44" s="35" t="s">
        <v>108</v>
      </c>
      <c r="C44" s="174" t="s">
        <v>305</v>
      </c>
      <c r="D44" s="175"/>
      <c r="E44" s="35">
        <v>28.3</v>
      </c>
      <c r="F44" s="4">
        <v>2672</v>
      </c>
      <c r="G44" s="4">
        <f t="shared" si="31"/>
        <v>75617.600000000006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2862.8571428571449</v>
      </c>
      <c r="N44" s="17">
        <f t="shared" si="3"/>
        <v>357.85714285714312</v>
      </c>
      <c r="O44" s="18">
        <f t="shared" si="4"/>
        <v>0</v>
      </c>
      <c r="P44" s="19">
        <f t="shared" si="5"/>
        <v>-17.142857142856883</v>
      </c>
      <c r="Q44" s="20">
        <f t="shared" si="6"/>
        <v>0.95428571428571496</v>
      </c>
      <c r="R44" s="186"/>
      <c r="S44" s="27">
        <v>0.33958333333333335</v>
      </c>
      <c r="T44" s="27">
        <v>0.37847222222222221</v>
      </c>
      <c r="U44" s="4">
        <f t="shared" si="34"/>
        <v>4.9999999999999822</v>
      </c>
      <c r="V44" s="21">
        <f t="shared" si="33"/>
        <v>55.999999999999957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-137.14285714285506</v>
      </c>
      <c r="AF44" s="20">
        <f t="shared" si="9"/>
        <v>0.95428571428571496</v>
      </c>
      <c r="AG44" s="186"/>
    </row>
    <row r="45" spans="1:33" ht="15.75" customHeight="1">
      <c r="A45" s="183" t="s">
        <v>67</v>
      </c>
      <c r="B45" s="35" t="s">
        <v>108</v>
      </c>
      <c r="C45" s="174" t="s">
        <v>113</v>
      </c>
      <c r="D45" s="175"/>
      <c r="E45" s="35">
        <v>35.869999999999997</v>
      </c>
      <c r="F45" s="4">
        <v>4143</v>
      </c>
      <c r="G45" s="4">
        <f t="shared" si="31"/>
        <v>148609.41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2857.2413793103442</v>
      </c>
      <c r="N45" s="17">
        <f t="shared" si="3"/>
        <v>317.47126436781605</v>
      </c>
      <c r="O45" s="18">
        <f t="shared" si="4"/>
        <v>0</v>
      </c>
      <c r="P45" s="19">
        <f t="shared" si="5"/>
        <v>-15.862068965517267</v>
      </c>
      <c r="Q45" s="20">
        <f t="shared" si="6"/>
        <v>0.9524137931034482</v>
      </c>
      <c r="R45" s="186"/>
      <c r="S45" s="27">
        <v>0.3833333333333333</v>
      </c>
      <c r="T45" s="27">
        <v>0.44374999999999998</v>
      </c>
      <c r="U45" s="4">
        <f t="shared" si="34"/>
        <v>6.9999999999999751</v>
      </c>
      <c r="V45" s="21">
        <f t="shared" si="33"/>
        <v>87.000000000000014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-142.7586206896558</v>
      </c>
      <c r="AF45" s="20">
        <f t="shared" si="9"/>
        <v>0.95241379310344809</v>
      </c>
      <c r="AG45" s="186"/>
    </row>
    <row r="46" spans="1:33" ht="15.75" customHeight="1">
      <c r="A46" s="184" t="s">
        <v>67</v>
      </c>
      <c r="B46" s="35" t="s">
        <v>48</v>
      </c>
      <c r="C46" s="164"/>
      <c r="D46" s="165"/>
      <c r="E46" s="37"/>
      <c r="F46" s="4"/>
      <c r="G46" s="4"/>
      <c r="H46" s="4"/>
      <c r="I46" s="29">
        <v>9</v>
      </c>
      <c r="J46" s="17">
        <v>3000</v>
      </c>
      <c r="K46" s="16">
        <f t="shared" si="1"/>
        <v>333.33333333333331</v>
      </c>
      <c r="L46" s="29">
        <v>9</v>
      </c>
      <c r="M46" s="17">
        <f>AVERAGE(M41:M45)</f>
        <v>2859.4968267246963</v>
      </c>
      <c r="N46" s="16">
        <f t="shared" si="3"/>
        <v>317.72186963607737</v>
      </c>
      <c r="O46" s="18">
        <f t="shared" si="4"/>
        <v>0</v>
      </c>
      <c r="P46" s="19">
        <f t="shared" si="5"/>
        <v>-15.611463697255942</v>
      </c>
      <c r="Q46" s="20">
        <f t="shared" si="6"/>
        <v>0.95316560890823221</v>
      </c>
      <c r="R46" s="187"/>
      <c r="S46" s="27"/>
      <c r="T46" s="27"/>
      <c r="U46" s="4"/>
      <c r="V46" s="21"/>
      <c r="W46" s="22"/>
      <c r="X46" s="22"/>
      <c r="Y46" s="30">
        <f>SUM(Y41:Y45)</f>
        <v>0</v>
      </c>
      <c r="Z46" s="30">
        <f>SUM(Z41:Z45)</f>
        <v>0</v>
      </c>
      <c r="AA46" s="180"/>
      <c r="AB46" s="181"/>
      <c r="AC46" s="30">
        <v>5</v>
      </c>
      <c r="AD46" s="30">
        <f>SUM(AD41:AD45)</f>
        <v>0</v>
      </c>
      <c r="AE46" s="18">
        <f t="shared" si="8"/>
        <v>-140.50317327530365</v>
      </c>
      <c r="AF46" s="20">
        <f t="shared" si="9"/>
        <v>0.9531656089082321</v>
      </c>
      <c r="AG46" s="187"/>
    </row>
    <row r="47" spans="1:33" ht="15.75" customHeight="1">
      <c r="A47" s="178" t="s">
        <v>73</v>
      </c>
      <c r="B47" s="35" t="s">
        <v>84</v>
      </c>
      <c r="C47" s="163" t="s">
        <v>114</v>
      </c>
      <c r="D47" s="163"/>
      <c r="E47" s="35">
        <v>46</v>
      </c>
      <c r="F47" s="38">
        <v>2530</v>
      </c>
      <c r="G47" s="4">
        <f t="shared" ref="G47:G54" si="35">E47*F47</f>
        <v>116380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" si="36">F47/V47*60</f>
        <v>1921.5189873417719</v>
      </c>
      <c r="N47" s="17">
        <f t="shared" si="3"/>
        <v>113.03052866716305</v>
      </c>
      <c r="O47" s="18">
        <f t="shared" si="4"/>
        <v>0</v>
      </c>
      <c r="P47" s="19">
        <f t="shared" si="5"/>
        <v>-4.6165301563663519</v>
      </c>
      <c r="Q47" s="20">
        <f t="shared" si="6"/>
        <v>0.96075949367088598</v>
      </c>
      <c r="R47" s="170">
        <f>Q55</f>
        <v>0.96400193257400824</v>
      </c>
      <c r="S47" s="27">
        <v>0.20833333333333334</v>
      </c>
      <c r="T47" s="27">
        <v>0.26319444444444445</v>
      </c>
      <c r="U47" s="27"/>
      <c r="V47" s="21">
        <f t="shared" ref="V47:V54" si="37">(T47-S47)*24*60</f>
        <v>79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-78.48101265822811</v>
      </c>
      <c r="AF47" s="20">
        <f t="shared" si="9"/>
        <v>0.96075949367088598</v>
      </c>
      <c r="AG47" s="170">
        <f>AF55</f>
        <v>0.96400193257400824</v>
      </c>
    </row>
    <row r="48" spans="1:33" ht="15.75" customHeight="1">
      <c r="A48" s="178" t="s">
        <v>73</v>
      </c>
      <c r="B48" s="35" t="s">
        <v>78</v>
      </c>
      <c r="C48" s="163" t="s">
        <v>115</v>
      </c>
      <c r="D48" s="163"/>
      <c r="E48" s="35">
        <v>56.43</v>
      </c>
      <c r="F48" s="38">
        <v>1794</v>
      </c>
      <c r="G48" s="4">
        <f t="shared" si="35"/>
        <v>101235.42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>F48/V48*60</f>
        <v>1922.1428571428557</v>
      </c>
      <c r="N48" s="17">
        <f t="shared" si="3"/>
        <v>87.370129870129801</v>
      </c>
      <c r="O48" s="18">
        <f t="shared" si="4"/>
        <v>0</v>
      </c>
      <c r="P48" s="19">
        <f t="shared" si="5"/>
        <v>-3.538961038961105</v>
      </c>
      <c r="Q48" s="20">
        <f t="shared" si="6"/>
        <v>0.9610714285714278</v>
      </c>
      <c r="R48" s="170"/>
      <c r="S48" s="27">
        <v>0.2673611111111111</v>
      </c>
      <c r="T48" s="27">
        <v>0.30625000000000002</v>
      </c>
      <c r="U48" s="4">
        <f t="shared" ref="U48:U54" si="38">IF(S48=TIME(17,0,0),"",(S48-T47)*24*60)</f>
        <v>5.9999999999999787</v>
      </c>
      <c r="V48" s="21">
        <f t="shared" si="37"/>
        <v>56.000000000000043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-77.857142857144254</v>
      </c>
      <c r="AF48" s="20">
        <f t="shared" si="9"/>
        <v>0.96107142857142791</v>
      </c>
      <c r="AG48" s="170"/>
    </row>
    <row r="49" spans="1:33" ht="15.75" customHeight="1">
      <c r="A49" s="178" t="s">
        <v>73</v>
      </c>
      <c r="B49" s="35" t="s">
        <v>78</v>
      </c>
      <c r="C49" s="174" t="s">
        <v>116</v>
      </c>
      <c r="D49" s="175"/>
      <c r="E49" s="35">
        <v>51.75</v>
      </c>
      <c r="F49" s="38">
        <v>1245</v>
      </c>
      <c r="G49" s="4">
        <f t="shared" si="35"/>
        <v>64428.75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ref="M49:M54" si="39">F49/V49*60</f>
        <v>1915.3846153846143</v>
      </c>
      <c r="N49" s="17">
        <f t="shared" si="3"/>
        <v>76.615384615384571</v>
      </c>
      <c r="O49" s="18">
        <f t="shared" si="4"/>
        <v>0</v>
      </c>
      <c r="P49" s="19">
        <f t="shared" si="5"/>
        <v>-3.3846153846154294</v>
      </c>
      <c r="Q49" s="20">
        <f t="shared" si="6"/>
        <v>0.95769230769230718</v>
      </c>
      <c r="R49" s="170"/>
      <c r="S49" s="27">
        <v>0.31041666666666667</v>
      </c>
      <c r="T49" s="27">
        <v>0.33750000000000002</v>
      </c>
      <c r="U49" s="4">
        <f t="shared" si="38"/>
        <v>5.9999999999999787</v>
      </c>
      <c r="V49" s="21">
        <f t="shared" si="37"/>
        <v>39.000000000000021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-84.615384615385665</v>
      </c>
      <c r="AF49" s="20">
        <f t="shared" si="9"/>
        <v>0.95769230769230718</v>
      </c>
      <c r="AG49" s="170"/>
    </row>
    <row r="50" spans="1:33" ht="15.75" customHeight="1">
      <c r="A50" s="178" t="s">
        <v>2132</v>
      </c>
      <c r="B50" s="35" t="s">
        <v>78</v>
      </c>
      <c r="C50" s="39" t="s">
        <v>118</v>
      </c>
      <c r="D50" s="40"/>
      <c r="E50" s="35">
        <v>57.73</v>
      </c>
      <c r="F50" s="38">
        <v>1192</v>
      </c>
      <c r="G50" s="4">
        <f t="shared" si="35"/>
        <v>68814.16</v>
      </c>
      <c r="H50" s="21" t="s">
        <v>133</v>
      </c>
      <c r="I50" s="15">
        <v>16</v>
      </c>
      <c r="J50" s="17">
        <v>1500</v>
      </c>
      <c r="K50" s="16">
        <f t="shared" si="1"/>
        <v>93.75</v>
      </c>
      <c r="L50" s="15">
        <v>16</v>
      </c>
      <c r="M50" s="17">
        <f t="shared" si="39"/>
        <v>1430.4000000000003</v>
      </c>
      <c r="N50" s="17">
        <f t="shared" si="3"/>
        <v>89.40000000000002</v>
      </c>
      <c r="O50" s="18">
        <f t="shared" si="4"/>
        <v>0</v>
      </c>
      <c r="P50" s="19">
        <f t="shared" si="5"/>
        <v>-4.3499999999999801</v>
      </c>
      <c r="Q50" s="20">
        <f t="shared" si="6"/>
        <v>0.95360000000000023</v>
      </c>
      <c r="R50" s="170"/>
      <c r="S50" s="27">
        <v>0.70833333333333337</v>
      </c>
      <c r="T50" s="27">
        <v>0.74305555555555558</v>
      </c>
      <c r="U50" s="4" t="str">
        <f t="shared" si="38"/>
        <v/>
      </c>
      <c r="V50" s="21">
        <f t="shared" si="37"/>
        <v>49.999999999999986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-69.599999999999682</v>
      </c>
      <c r="AF50" s="20">
        <f t="shared" si="9"/>
        <v>0.95360000000000023</v>
      </c>
      <c r="AG50" s="170"/>
    </row>
    <row r="51" spans="1:33" ht="15.75" customHeight="1">
      <c r="A51" s="178" t="s">
        <v>73</v>
      </c>
      <c r="B51" s="35" t="s">
        <v>78</v>
      </c>
      <c r="C51" s="39" t="s">
        <v>119</v>
      </c>
      <c r="D51" s="40"/>
      <c r="E51" s="35">
        <v>54.29</v>
      </c>
      <c r="F51" s="38">
        <v>1234</v>
      </c>
      <c r="G51" s="4">
        <f t="shared" si="35"/>
        <v>66993.86</v>
      </c>
      <c r="H51" s="21" t="s">
        <v>133</v>
      </c>
      <c r="I51" s="15">
        <v>20</v>
      </c>
      <c r="J51" s="17">
        <v>2000</v>
      </c>
      <c r="K51" s="16">
        <f t="shared" si="1"/>
        <v>100</v>
      </c>
      <c r="L51" s="15">
        <v>20</v>
      </c>
      <c r="M51" s="17">
        <f t="shared" si="39"/>
        <v>1948.4210526315776</v>
      </c>
      <c r="N51" s="17">
        <f t="shared" si="3"/>
        <v>97.421052631578874</v>
      </c>
      <c r="O51" s="18">
        <f t="shared" si="4"/>
        <v>0</v>
      </c>
      <c r="P51" s="19">
        <f t="shared" si="5"/>
        <v>-2.5789473684211259</v>
      </c>
      <c r="Q51" s="20">
        <f t="shared" si="6"/>
        <v>0.97421052631578875</v>
      </c>
      <c r="R51" s="170"/>
      <c r="S51" s="27">
        <v>0.74722222222222223</v>
      </c>
      <c r="T51" s="27">
        <v>0.77361111111111114</v>
      </c>
      <c r="U51" s="4">
        <f t="shared" si="38"/>
        <v>5.9999999999999787</v>
      </c>
      <c r="V51" s="21">
        <f t="shared" si="37"/>
        <v>38.000000000000028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-51.578947368422405</v>
      </c>
      <c r="AF51" s="20">
        <f t="shared" si="9"/>
        <v>0.97421052631578875</v>
      </c>
      <c r="AG51" s="170"/>
    </row>
    <row r="52" spans="1:33" ht="15.75" customHeight="1">
      <c r="A52" s="178" t="s">
        <v>2132</v>
      </c>
      <c r="B52" s="35" t="s">
        <v>78</v>
      </c>
      <c r="C52" s="174" t="s">
        <v>120</v>
      </c>
      <c r="D52" s="175"/>
      <c r="E52" s="35">
        <v>55.56</v>
      </c>
      <c r="F52" s="38">
        <v>1000</v>
      </c>
      <c r="G52" s="4">
        <f t="shared" si="35"/>
        <v>55560</v>
      </c>
      <c r="H52" s="21">
        <v>2</v>
      </c>
      <c r="I52" s="15">
        <v>17</v>
      </c>
      <c r="J52" s="17">
        <v>2000</v>
      </c>
      <c r="K52" s="16">
        <f t="shared" si="1"/>
        <v>117.64705882352941</v>
      </c>
      <c r="L52" s="15">
        <v>17</v>
      </c>
      <c r="M52" s="17">
        <f t="shared" si="39"/>
        <v>1935.483870967739</v>
      </c>
      <c r="N52" s="17">
        <f t="shared" si="3"/>
        <v>113.85199240986699</v>
      </c>
      <c r="O52" s="18">
        <f t="shared" si="4"/>
        <v>0</v>
      </c>
      <c r="P52" s="19">
        <f t="shared" si="5"/>
        <v>-3.7950664136624113</v>
      </c>
      <c r="Q52" s="20">
        <f t="shared" si="6"/>
        <v>0.96774193548386955</v>
      </c>
      <c r="R52" s="170"/>
      <c r="S52" s="27">
        <v>0.77847222222222223</v>
      </c>
      <c r="T52" s="27">
        <v>0.8</v>
      </c>
      <c r="U52" s="4">
        <f t="shared" si="38"/>
        <v>6.9999999999999751</v>
      </c>
      <c r="V52" s="21">
        <f t="shared" si="37"/>
        <v>31.00000000000005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-64.516129032261006</v>
      </c>
      <c r="AF52" s="20">
        <f t="shared" si="9"/>
        <v>0.96774193548386944</v>
      </c>
      <c r="AG52" s="170"/>
    </row>
    <row r="53" spans="1:33" ht="15.75" customHeight="1">
      <c r="A53" s="178" t="s">
        <v>2133</v>
      </c>
      <c r="B53" s="35" t="s">
        <v>78</v>
      </c>
      <c r="C53" s="174" t="s">
        <v>121</v>
      </c>
      <c r="D53" s="175"/>
      <c r="E53" s="35">
        <v>55.32</v>
      </c>
      <c r="F53" s="38">
        <v>1537</v>
      </c>
      <c r="G53" s="4">
        <f t="shared" si="35"/>
        <v>85026.84</v>
      </c>
      <c r="H53" s="21" t="s">
        <v>133</v>
      </c>
      <c r="I53" s="15">
        <v>15</v>
      </c>
      <c r="J53" s="17">
        <v>2000</v>
      </c>
      <c r="K53" s="16">
        <f t="shared" si="1"/>
        <v>133.33333333333334</v>
      </c>
      <c r="L53" s="15">
        <v>15</v>
      </c>
      <c r="M53" s="17">
        <f t="shared" si="39"/>
        <v>1921.2500000000005</v>
      </c>
      <c r="N53" s="17">
        <f t="shared" si="3"/>
        <v>128.08333333333337</v>
      </c>
      <c r="O53" s="18">
        <f t="shared" si="4"/>
        <v>0</v>
      </c>
      <c r="P53" s="19">
        <f t="shared" si="5"/>
        <v>-5.2499999999999716</v>
      </c>
      <c r="Q53" s="20">
        <f t="shared" si="6"/>
        <v>0.96062500000000017</v>
      </c>
      <c r="R53" s="170"/>
      <c r="S53" s="27">
        <v>0.80555555555555558</v>
      </c>
      <c r="T53" s="27">
        <v>0.83888888888888891</v>
      </c>
      <c r="U53" s="4">
        <f t="shared" si="38"/>
        <v>7.9999999999999716</v>
      </c>
      <c r="V53" s="21">
        <f t="shared" si="37"/>
        <v>47.999999999999986</v>
      </c>
      <c r="W53" s="22">
        <f>T53</f>
        <v>0.83888888888888891</v>
      </c>
      <c r="X53" s="22">
        <f>S54</f>
        <v>0.88055555555555554</v>
      </c>
      <c r="Y53" s="25"/>
      <c r="Z53" s="25"/>
      <c r="AA53" s="176"/>
      <c r="AB53" s="177"/>
      <c r="AC53" s="24"/>
      <c r="AD53" s="24"/>
      <c r="AE53" s="18">
        <f t="shared" si="8"/>
        <v>-78.749999999999545</v>
      </c>
      <c r="AF53" s="20">
        <f t="shared" si="9"/>
        <v>0.96062500000000017</v>
      </c>
      <c r="AG53" s="170"/>
    </row>
    <row r="54" spans="1:33" ht="15.75" customHeight="1">
      <c r="A54" s="178" t="s">
        <v>2132</v>
      </c>
      <c r="B54" s="35" t="s">
        <v>78</v>
      </c>
      <c r="C54" s="174" t="s">
        <v>120</v>
      </c>
      <c r="D54" s="175"/>
      <c r="E54" s="35">
        <v>55.56</v>
      </c>
      <c r="F54" s="38">
        <v>1136</v>
      </c>
      <c r="G54" s="4">
        <f t="shared" si="35"/>
        <v>63116.160000000003</v>
      </c>
      <c r="H54" s="21" t="s">
        <v>133</v>
      </c>
      <c r="I54" s="15">
        <v>17</v>
      </c>
      <c r="J54" s="17">
        <v>2000</v>
      </c>
      <c r="K54" s="16">
        <f t="shared" si="1"/>
        <v>117.64705882352941</v>
      </c>
      <c r="L54" s="15">
        <v>17</v>
      </c>
      <c r="M54" s="17">
        <f t="shared" si="39"/>
        <v>1947.4285714285697</v>
      </c>
      <c r="N54" s="17">
        <f t="shared" si="3"/>
        <v>114.5546218487394</v>
      </c>
      <c r="O54" s="18">
        <f t="shared" si="4"/>
        <v>0</v>
      </c>
      <c r="P54" s="19">
        <f t="shared" si="5"/>
        <v>-3.0924369747900045</v>
      </c>
      <c r="Q54" s="20">
        <f t="shared" si="6"/>
        <v>0.97371428571428498</v>
      </c>
      <c r="R54" s="170"/>
      <c r="S54" s="27">
        <v>0.88055555555555554</v>
      </c>
      <c r="T54" s="27">
        <v>0.90486111111111112</v>
      </c>
      <c r="U54" s="4">
        <f t="shared" si="38"/>
        <v>59.999999999999943</v>
      </c>
      <c r="V54" s="21">
        <f t="shared" si="37"/>
        <v>35.000000000000036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-52.57142857143026</v>
      </c>
      <c r="AF54" s="20">
        <f t="shared" si="9"/>
        <v>0.97371428571428487</v>
      </c>
      <c r="AG54" s="170"/>
    </row>
    <row r="55" spans="1:33">
      <c r="A55" s="179" t="s">
        <v>73</v>
      </c>
      <c r="B55" s="35" t="s">
        <v>2134</v>
      </c>
      <c r="C55" s="171"/>
      <c r="D55" s="171"/>
      <c r="E55" s="36"/>
      <c r="F55" s="16"/>
      <c r="G55" s="16"/>
      <c r="H55" s="4"/>
      <c r="I55" s="29">
        <v>18.625</v>
      </c>
      <c r="J55" s="17">
        <v>1937.5</v>
      </c>
      <c r="K55" s="16">
        <f t="shared" si="1"/>
        <v>104.02684563758389</v>
      </c>
      <c r="L55" s="29">
        <v>18.625</v>
      </c>
      <c r="M55" s="17">
        <f>AVERAGE(M47:M54)</f>
        <v>1867.7537443621409</v>
      </c>
      <c r="N55" s="16">
        <f t="shared" si="3"/>
        <v>100.28208023420891</v>
      </c>
      <c r="O55" s="18">
        <f t="shared" si="4"/>
        <v>0</v>
      </c>
      <c r="P55" s="19">
        <f t="shared" si="5"/>
        <v>-3.7447654033749842</v>
      </c>
      <c r="Q55" s="20">
        <f t="shared" si="6"/>
        <v>0.96400193257400824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v>8</v>
      </c>
      <c r="AD55" s="30">
        <f>SUM(AD47:AD54)</f>
        <v>0</v>
      </c>
      <c r="AE55" s="18">
        <f>M55-J55</f>
        <v>-69.746255637859122</v>
      </c>
      <c r="AF55" s="20">
        <f t="shared" si="9"/>
        <v>0.96400193257400824</v>
      </c>
      <c r="AG55" s="170"/>
    </row>
    <row r="56" spans="1:33" ht="15.75" customHeight="1">
      <c r="A56" s="172" t="s">
        <v>402</v>
      </c>
      <c r="B56" s="4" t="s">
        <v>108</v>
      </c>
      <c r="C56" s="163" t="s">
        <v>125</v>
      </c>
      <c r="D56" s="163"/>
      <c r="E56" s="35">
        <v>37.85</v>
      </c>
      <c r="F56" s="38">
        <v>1476</v>
      </c>
      <c r="G56" s="4">
        <f t="shared" ref="G56:G60" si="40">E56*F56</f>
        <v>55866.6</v>
      </c>
      <c r="H56" s="21" t="s">
        <v>133</v>
      </c>
      <c r="I56" s="15">
        <v>12</v>
      </c>
      <c r="J56" s="17">
        <v>2000</v>
      </c>
      <c r="K56" s="16">
        <f t="shared" si="1"/>
        <v>166.66666666666666</v>
      </c>
      <c r="L56" s="15">
        <v>12</v>
      </c>
      <c r="M56" s="17">
        <f t="shared" ref="M56:M60" si="41">F56/V56*60</f>
        <v>1925.217391304348</v>
      </c>
      <c r="N56" s="16">
        <f t="shared" si="3"/>
        <v>160.43478260869566</v>
      </c>
      <c r="O56" s="18">
        <f t="shared" si="4"/>
        <v>0</v>
      </c>
      <c r="P56" s="19">
        <f t="shared" si="5"/>
        <v>-6.2318840579710013</v>
      </c>
      <c r="Q56" s="20">
        <f t="shared" si="6"/>
        <v>0.962608695652174</v>
      </c>
      <c r="R56" s="170">
        <f>Q61</f>
        <v>0.96298525750066721</v>
      </c>
      <c r="S56" s="27">
        <v>0.20833333333333334</v>
      </c>
      <c r="T56" s="27">
        <v>0.24027777777777778</v>
      </c>
      <c r="U56" s="4"/>
      <c r="V56" s="21">
        <f t="shared" ref="V56:V60" si="42">(T56-S56)*24*60</f>
        <v>46</v>
      </c>
      <c r="W56" s="27"/>
      <c r="X56" s="27"/>
      <c r="Y56" s="27"/>
      <c r="Z56" s="27"/>
      <c r="AA56" s="162"/>
      <c r="AB56" s="162"/>
      <c r="AC56" s="24">
        <v>5</v>
      </c>
      <c r="AD56" s="24"/>
      <c r="AE56" s="18">
        <f t="shared" ref="AE56:AE68" si="43">M56-J56</f>
        <v>-74.782608695652016</v>
      </c>
      <c r="AF56" s="20">
        <f t="shared" si="9"/>
        <v>0.962608695652174</v>
      </c>
      <c r="AG56" s="170">
        <f>AF61</f>
        <v>0.96298525750066732</v>
      </c>
    </row>
    <row r="57" spans="1:33" ht="15.75" customHeight="1">
      <c r="A57" s="172" t="s">
        <v>402</v>
      </c>
      <c r="B57" s="4" t="s">
        <v>108</v>
      </c>
      <c r="C57" s="163" t="s">
        <v>126</v>
      </c>
      <c r="D57" s="163"/>
      <c r="E57" s="35">
        <v>34.36</v>
      </c>
      <c r="F57" s="38">
        <v>2177</v>
      </c>
      <c r="G57" s="4">
        <f t="shared" si="40"/>
        <v>74801.72</v>
      </c>
      <c r="H57" s="21" t="s">
        <v>133</v>
      </c>
      <c r="I57" s="15">
        <v>10</v>
      </c>
      <c r="J57" s="17">
        <v>3000</v>
      </c>
      <c r="K57" s="16">
        <f t="shared" si="1"/>
        <v>300</v>
      </c>
      <c r="L57" s="15">
        <v>10</v>
      </c>
      <c r="M57" s="17">
        <f t="shared" si="41"/>
        <v>2902.666666666667</v>
      </c>
      <c r="N57" s="16">
        <f t="shared" si="3"/>
        <v>290.26666666666671</v>
      </c>
      <c r="O57" s="18">
        <f t="shared" si="4"/>
        <v>0</v>
      </c>
      <c r="P57" s="19">
        <f t="shared" si="5"/>
        <v>-9.7333333333332916</v>
      </c>
      <c r="Q57" s="20">
        <f t="shared" si="6"/>
        <v>0.96755555555555572</v>
      </c>
      <c r="R57" s="170"/>
      <c r="S57" s="27">
        <v>0.24444444444444446</v>
      </c>
      <c r="T57" s="27">
        <v>0.27569444444444446</v>
      </c>
      <c r="U57" s="4">
        <f t="shared" ref="U57:U60" si="44">(S57-T56)*24*60</f>
        <v>6.0000000000000187</v>
      </c>
      <c r="V57" s="21">
        <f t="shared" si="42"/>
        <v>45</v>
      </c>
      <c r="W57" s="4"/>
      <c r="X57" s="4"/>
      <c r="Y57" s="4"/>
      <c r="Z57" s="4"/>
      <c r="AA57" s="162"/>
      <c r="AB57" s="162"/>
      <c r="AC57" s="24"/>
      <c r="AD57" s="24"/>
      <c r="AE57" s="18">
        <f t="shared" si="43"/>
        <v>-97.33333333333303</v>
      </c>
      <c r="AF57" s="20">
        <f t="shared" si="9"/>
        <v>0.96755555555555561</v>
      </c>
      <c r="AG57" s="170"/>
    </row>
    <row r="58" spans="1:33" ht="15.75" customHeight="1">
      <c r="A58" s="172" t="s">
        <v>402</v>
      </c>
      <c r="B58" s="4" t="s">
        <v>108</v>
      </c>
      <c r="C58" s="163" t="s">
        <v>127</v>
      </c>
      <c r="D58" s="163"/>
      <c r="E58" s="35">
        <v>35.119999999999997</v>
      </c>
      <c r="F58" s="38">
        <v>5979</v>
      </c>
      <c r="G58" s="4">
        <f t="shared" si="40"/>
        <v>209982.47999999998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1"/>
        <v>2869.9199999999992</v>
      </c>
      <c r="N58" s="16">
        <f t="shared" si="3"/>
        <v>286.9919999999999</v>
      </c>
      <c r="O58" s="18">
        <f t="shared" si="4"/>
        <v>0</v>
      </c>
      <c r="P58" s="19">
        <f t="shared" si="5"/>
        <v>-13.008000000000095</v>
      </c>
      <c r="Q58" s="20">
        <f t="shared" si="6"/>
        <v>0.95663999999999971</v>
      </c>
      <c r="R58" s="170"/>
      <c r="S58" s="27">
        <v>0.28125</v>
      </c>
      <c r="T58" s="27">
        <v>0.36805555555555558</v>
      </c>
      <c r="U58" s="4">
        <f t="shared" si="44"/>
        <v>7.9999999999999716</v>
      </c>
      <c r="V58" s="21">
        <f t="shared" si="42"/>
        <v>125.00000000000003</v>
      </c>
      <c r="W58" s="4"/>
      <c r="X58" s="4"/>
      <c r="Y58" s="4"/>
      <c r="Z58" s="4"/>
      <c r="AA58" s="162"/>
      <c r="AB58" s="162"/>
      <c r="AC58" s="24"/>
      <c r="AD58" s="24"/>
      <c r="AE58" s="18">
        <f t="shared" si="43"/>
        <v>-130.08000000000084</v>
      </c>
      <c r="AF58" s="20">
        <f t="shared" si="9"/>
        <v>0.95663999999999971</v>
      </c>
      <c r="AG58" s="170"/>
    </row>
    <row r="59" spans="1:33" ht="15.75" customHeight="1">
      <c r="A59" s="172" t="s">
        <v>2135</v>
      </c>
      <c r="B59" s="4" t="s">
        <v>108</v>
      </c>
      <c r="C59" s="163" t="s">
        <v>109</v>
      </c>
      <c r="D59" s="163"/>
      <c r="E59" s="35">
        <v>34.36</v>
      </c>
      <c r="F59" s="38">
        <v>1980</v>
      </c>
      <c r="G59" s="4">
        <f t="shared" si="40"/>
        <v>68032.800000000003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1"/>
        <v>2897.5609756097551</v>
      </c>
      <c r="N59" s="16">
        <f t="shared" si="3"/>
        <v>289.75609756097549</v>
      </c>
      <c r="O59" s="18">
        <f t="shared" si="4"/>
        <v>0</v>
      </c>
      <c r="P59" s="19">
        <f t="shared" si="5"/>
        <v>-10.243902439024509</v>
      </c>
      <c r="Q59" s="20">
        <f t="shared" si="6"/>
        <v>0.965853658536585</v>
      </c>
      <c r="R59" s="170"/>
      <c r="S59" s="27">
        <v>0.37152777777777779</v>
      </c>
      <c r="T59" s="27">
        <v>0.4</v>
      </c>
      <c r="U59" s="4">
        <f t="shared" si="44"/>
        <v>4.9999999999999822</v>
      </c>
      <c r="V59" s="21">
        <f t="shared" si="42"/>
        <v>41.000000000000014</v>
      </c>
      <c r="W59" s="4"/>
      <c r="X59" s="4"/>
      <c r="Y59" s="4"/>
      <c r="Z59" s="4"/>
      <c r="AA59" s="162"/>
      <c r="AB59" s="162"/>
      <c r="AC59" s="24"/>
      <c r="AD59" s="24"/>
      <c r="AE59" s="18">
        <f t="shared" si="43"/>
        <v>-102.43902439024487</v>
      </c>
      <c r="AF59" s="20">
        <f t="shared" si="9"/>
        <v>0.965853658536585</v>
      </c>
      <c r="AG59" s="170"/>
    </row>
    <row r="60" spans="1:33">
      <c r="A60" s="173" t="s">
        <v>2135</v>
      </c>
      <c r="B60" s="4" t="s">
        <v>108</v>
      </c>
      <c r="C60" s="163" t="s">
        <v>110</v>
      </c>
      <c r="D60" s="163"/>
      <c r="E60" s="35">
        <v>26.78</v>
      </c>
      <c r="F60" s="38">
        <v>2694</v>
      </c>
      <c r="G60" s="4">
        <f t="shared" si="40"/>
        <v>72145.320000000007</v>
      </c>
      <c r="H60" s="21" t="s">
        <v>133</v>
      </c>
      <c r="I60" s="15">
        <v>10</v>
      </c>
      <c r="J60" s="17">
        <v>3000</v>
      </c>
      <c r="K60" s="16">
        <f t="shared" si="1"/>
        <v>300</v>
      </c>
      <c r="L60" s="15">
        <v>10</v>
      </c>
      <c r="M60" s="17">
        <f t="shared" si="41"/>
        <v>2886.4285714285738</v>
      </c>
      <c r="N60" s="16">
        <f t="shared" si="3"/>
        <v>288.64285714285739</v>
      </c>
      <c r="O60" s="18">
        <f t="shared" si="4"/>
        <v>0</v>
      </c>
      <c r="P60" s="19">
        <f t="shared" si="5"/>
        <v>-11.357142857142605</v>
      </c>
      <c r="Q60" s="20">
        <f t="shared" si="6"/>
        <v>0.96214285714285797</v>
      </c>
      <c r="R60" s="170"/>
      <c r="S60" s="27">
        <v>0.40486111111111112</v>
      </c>
      <c r="T60" s="27">
        <v>0.44374999999999998</v>
      </c>
      <c r="U60" s="4">
        <f t="shared" si="44"/>
        <v>6.9999999999999751</v>
      </c>
      <c r="V60" s="21">
        <f t="shared" si="42"/>
        <v>55.999999999999957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-113.57142857142617</v>
      </c>
      <c r="AF60" s="20">
        <f t="shared" si="9"/>
        <v>0.96214285714285797</v>
      </c>
      <c r="AG60" s="170"/>
    </row>
    <row r="61" spans="1:33">
      <c r="A61" s="173" t="s">
        <v>2135</v>
      </c>
      <c r="B61" s="35" t="s">
        <v>48</v>
      </c>
      <c r="C61" s="171"/>
      <c r="D61" s="171"/>
      <c r="E61" s="36"/>
      <c r="F61" s="16"/>
      <c r="G61" s="16"/>
      <c r="H61" s="4"/>
      <c r="I61" s="29">
        <v>10.4</v>
      </c>
      <c r="J61" s="17">
        <v>2800</v>
      </c>
      <c r="K61" s="16">
        <f t="shared" si="1"/>
        <v>269.23076923076923</v>
      </c>
      <c r="L61" s="29">
        <v>10.4</v>
      </c>
      <c r="M61" s="17">
        <f>AVERAGE(M56:M60)</f>
        <v>2696.3587210018686</v>
      </c>
      <c r="N61" s="16">
        <f t="shared" si="3"/>
        <v>259.26526163479502</v>
      </c>
      <c r="O61" s="18">
        <f t="shared" si="4"/>
        <v>0</v>
      </c>
      <c r="P61" s="19">
        <f t="shared" si="5"/>
        <v>-9.9655075959742021</v>
      </c>
      <c r="Q61" s="20">
        <f t="shared" si="6"/>
        <v>0.96298525750066721</v>
      </c>
      <c r="R61" s="170"/>
      <c r="S61" s="27"/>
      <c r="T61" s="27"/>
      <c r="U61" s="16"/>
      <c r="V61" s="21"/>
      <c r="W61" s="16"/>
      <c r="X61" s="16"/>
      <c r="Y61" s="30">
        <f>SUM(Y56:Y60)</f>
        <v>0</v>
      </c>
      <c r="Z61" s="30">
        <f>SUM(Z56:Z60)</f>
        <v>0</v>
      </c>
      <c r="AA61" s="166"/>
      <c r="AB61" s="166"/>
      <c r="AC61" s="30">
        <v>5</v>
      </c>
      <c r="AD61" s="30">
        <f>SUM(AD56:AD60)</f>
        <v>0</v>
      </c>
      <c r="AE61" s="18">
        <f t="shared" si="43"/>
        <v>-103.64127899813138</v>
      </c>
      <c r="AF61" s="20">
        <f t="shared" si="9"/>
        <v>0.96298525750066732</v>
      </c>
      <c r="AG61" s="170"/>
    </row>
    <row r="62" spans="1:33" ht="15.75" customHeight="1">
      <c r="A62" s="167" t="s">
        <v>2136</v>
      </c>
      <c r="B62" s="4" t="s">
        <v>97</v>
      </c>
      <c r="C62" s="163" t="s">
        <v>128</v>
      </c>
      <c r="D62" s="163"/>
      <c r="E62" s="35">
        <v>20.2</v>
      </c>
      <c r="F62" s="4">
        <v>2392</v>
      </c>
      <c r="G62" s="4">
        <f t="shared" ref="G62:G67" si="45">E62*F62</f>
        <v>48318.400000000001</v>
      </c>
      <c r="H62" s="21" t="s">
        <v>133</v>
      </c>
      <c r="I62" s="15">
        <v>15</v>
      </c>
      <c r="J62" s="17">
        <v>2400</v>
      </c>
      <c r="K62" s="16">
        <f t="shared" si="1"/>
        <v>160</v>
      </c>
      <c r="L62" s="15">
        <v>15</v>
      </c>
      <c r="M62" s="17">
        <f t="shared" ref="M62:M67" si="46">F62/V62*60</f>
        <v>2314.8387096774195</v>
      </c>
      <c r="N62" s="16">
        <f t="shared" si="3"/>
        <v>154.32258064516131</v>
      </c>
      <c r="O62" s="18">
        <f t="shared" si="4"/>
        <v>0</v>
      </c>
      <c r="P62" s="19">
        <f t="shared" si="5"/>
        <v>-5.6774193548386904</v>
      </c>
      <c r="Q62" s="20">
        <f t="shared" si="6"/>
        <v>0.96451612903225814</v>
      </c>
      <c r="R62" s="170">
        <f>Q68</f>
        <v>0.95995356246616037</v>
      </c>
      <c r="S62" s="27">
        <v>8.3333333333333329E-2</v>
      </c>
      <c r="T62" s="27">
        <v>0.12638888888888888</v>
      </c>
      <c r="U62" s="27"/>
      <c r="V62" s="21">
        <f t="shared" ref="V62:V67" si="47">(T62-S62)*24*60</f>
        <v>61.999999999999993</v>
      </c>
      <c r="W62" s="22">
        <f>T62</f>
        <v>0.12638888888888888</v>
      </c>
      <c r="X62" s="22">
        <f>S63</f>
        <v>0.14583333333333334</v>
      </c>
      <c r="Y62" s="22"/>
      <c r="Z62" s="22"/>
      <c r="AA62" s="162"/>
      <c r="AB62" s="162"/>
      <c r="AC62" s="24">
        <v>6</v>
      </c>
      <c r="AD62" s="24"/>
      <c r="AE62" s="18">
        <f t="shared" si="43"/>
        <v>-85.161290322580498</v>
      </c>
      <c r="AF62" s="20">
        <f t="shared" si="9"/>
        <v>0.96451612903225814</v>
      </c>
      <c r="AG62" s="170">
        <f>AF68</f>
        <v>0.95995356246616037</v>
      </c>
    </row>
    <row r="63" spans="1:33" ht="15.75" customHeight="1">
      <c r="A63" s="168" t="s">
        <v>2136</v>
      </c>
      <c r="B63" s="4" t="s">
        <v>97</v>
      </c>
      <c r="C63" s="163" t="s">
        <v>129</v>
      </c>
      <c r="D63" s="163"/>
      <c r="E63" s="35">
        <v>24.45</v>
      </c>
      <c r="F63" s="4">
        <v>2702</v>
      </c>
      <c r="G63" s="4">
        <f t="shared" si="45"/>
        <v>66063.899999999994</v>
      </c>
      <c r="H63" s="21" t="s">
        <v>133</v>
      </c>
      <c r="I63" s="15">
        <v>19</v>
      </c>
      <c r="J63" s="17">
        <v>2400</v>
      </c>
      <c r="K63" s="16">
        <f t="shared" si="1"/>
        <v>126.31578947368421</v>
      </c>
      <c r="L63" s="15">
        <v>19</v>
      </c>
      <c r="M63" s="17">
        <f t="shared" si="46"/>
        <v>2316.0000000000005</v>
      </c>
      <c r="N63" s="16">
        <f t="shared" si="3"/>
        <v>121.89473684210529</v>
      </c>
      <c r="O63" s="18">
        <f t="shared" si="4"/>
        <v>0</v>
      </c>
      <c r="P63" s="19">
        <f t="shared" si="5"/>
        <v>-4.4210526315789167</v>
      </c>
      <c r="Q63" s="20">
        <f t="shared" si="6"/>
        <v>0.96500000000000019</v>
      </c>
      <c r="R63" s="170"/>
      <c r="S63" s="27">
        <v>0.14583333333333334</v>
      </c>
      <c r="T63" s="27">
        <v>0.19444444444444445</v>
      </c>
      <c r="U63" s="4">
        <f t="shared" ref="U63:U67" si="48">(S63-T62)*24*60</f>
        <v>28.000000000000021</v>
      </c>
      <c r="V63" s="21">
        <f t="shared" si="47"/>
        <v>69.999999999999986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-83.999999999999545</v>
      </c>
      <c r="AF63" s="20">
        <f t="shared" si="9"/>
        <v>0.96500000000000019</v>
      </c>
      <c r="AG63" s="170"/>
    </row>
    <row r="64" spans="1:33" ht="15.75" customHeight="1">
      <c r="A64" s="168" t="s">
        <v>2136</v>
      </c>
      <c r="B64" s="4" t="s">
        <v>97</v>
      </c>
      <c r="C64" s="163" t="s">
        <v>106</v>
      </c>
      <c r="D64" s="163"/>
      <c r="E64" s="35">
        <v>20.21</v>
      </c>
      <c r="F64" s="4">
        <v>2887</v>
      </c>
      <c r="G64" s="4">
        <f t="shared" si="45"/>
        <v>58346.270000000004</v>
      </c>
      <c r="H64" s="21" t="s">
        <v>133</v>
      </c>
      <c r="I64" s="15">
        <v>15</v>
      </c>
      <c r="J64" s="17">
        <v>2400</v>
      </c>
      <c r="K64" s="16">
        <f t="shared" si="1"/>
        <v>160</v>
      </c>
      <c r="L64" s="15">
        <v>15</v>
      </c>
      <c r="M64" s="17">
        <f t="shared" si="46"/>
        <v>2309.6000000000008</v>
      </c>
      <c r="N64" s="16">
        <f t="shared" si="3"/>
        <v>153.97333333333339</v>
      </c>
      <c r="O64" s="18">
        <f t="shared" si="4"/>
        <v>0</v>
      </c>
      <c r="P64" s="19">
        <f t="shared" si="5"/>
        <v>-6.026666666666614</v>
      </c>
      <c r="Q64" s="20">
        <f t="shared" si="6"/>
        <v>0.96233333333333371</v>
      </c>
      <c r="R64" s="170"/>
      <c r="S64" s="27">
        <v>0.19930555555555557</v>
      </c>
      <c r="T64" s="27">
        <v>0.25138888888888888</v>
      </c>
      <c r="U64" s="4">
        <f t="shared" si="48"/>
        <v>7.0000000000000151</v>
      </c>
      <c r="V64" s="21">
        <f t="shared" si="47"/>
        <v>74.999999999999972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3"/>
        <v>-90.399999999999181</v>
      </c>
      <c r="AF64" s="20">
        <f t="shared" si="9"/>
        <v>0.96233333333333371</v>
      </c>
      <c r="AG64" s="170"/>
    </row>
    <row r="65" spans="1:33" ht="15.75" customHeight="1">
      <c r="A65" s="168" t="s">
        <v>2136</v>
      </c>
      <c r="B65" s="4" t="s">
        <v>97</v>
      </c>
      <c r="C65" s="163" t="s">
        <v>130</v>
      </c>
      <c r="D65" s="163"/>
      <c r="E65" s="35">
        <v>24.43</v>
      </c>
      <c r="F65" s="4">
        <v>7056</v>
      </c>
      <c r="G65" s="4">
        <f t="shared" si="45"/>
        <v>172378.08</v>
      </c>
      <c r="H65" s="21" t="s">
        <v>133</v>
      </c>
      <c r="I65" s="15">
        <v>14</v>
      </c>
      <c r="J65" s="17">
        <v>2400</v>
      </c>
      <c r="K65" s="16">
        <f t="shared" si="1"/>
        <v>171.42857142857142</v>
      </c>
      <c r="L65" s="15">
        <v>14</v>
      </c>
      <c r="M65" s="17">
        <f t="shared" si="46"/>
        <v>2288.432432432433</v>
      </c>
      <c r="N65" s="16">
        <f t="shared" si="3"/>
        <v>163.45945945945951</v>
      </c>
      <c r="O65" s="18">
        <f t="shared" si="4"/>
        <v>0</v>
      </c>
      <c r="P65" s="19">
        <f t="shared" si="5"/>
        <v>-7.969111969111907</v>
      </c>
      <c r="Q65" s="20">
        <f t="shared" si="6"/>
        <v>0.95351351351351388</v>
      </c>
      <c r="R65" s="170"/>
      <c r="S65" s="27">
        <v>0.25694444444444442</v>
      </c>
      <c r="T65" s="27">
        <v>0.38541666666666663</v>
      </c>
      <c r="U65" s="4">
        <f t="shared" si="48"/>
        <v>7.9999999999999716</v>
      </c>
      <c r="V65" s="21">
        <f t="shared" si="47"/>
        <v>184.99999999999997</v>
      </c>
      <c r="W65" s="22"/>
      <c r="X65" s="22"/>
      <c r="Y65" s="22"/>
      <c r="Z65" s="22"/>
      <c r="AA65" s="162"/>
      <c r="AB65" s="162"/>
      <c r="AC65" s="24"/>
      <c r="AD65" s="24"/>
      <c r="AE65" s="18">
        <f t="shared" si="43"/>
        <v>-111.56756756756704</v>
      </c>
      <c r="AF65" s="20">
        <f t="shared" si="9"/>
        <v>0.95351351351351377</v>
      </c>
      <c r="AG65" s="170"/>
    </row>
    <row r="66" spans="1:33" ht="15.75" customHeight="1">
      <c r="A66" s="168" t="s">
        <v>2136</v>
      </c>
      <c r="B66" s="4" t="s">
        <v>97</v>
      </c>
      <c r="C66" s="163" t="s">
        <v>132</v>
      </c>
      <c r="D66" s="163"/>
      <c r="E66" s="35">
        <v>19.02</v>
      </c>
      <c r="F66" s="4">
        <v>4100</v>
      </c>
      <c r="G66" s="4">
        <f t="shared" si="45"/>
        <v>77982</v>
      </c>
      <c r="H66" s="21">
        <v>2</v>
      </c>
      <c r="I66" s="15">
        <v>14</v>
      </c>
      <c r="J66" s="17">
        <v>2400</v>
      </c>
      <c r="K66" s="16">
        <f t="shared" si="1"/>
        <v>171.42857142857142</v>
      </c>
      <c r="L66" s="15">
        <v>14</v>
      </c>
      <c r="M66" s="17">
        <f t="shared" si="46"/>
        <v>2299.0654205607475</v>
      </c>
      <c r="N66" s="16">
        <f t="shared" si="3"/>
        <v>164.21895861148195</v>
      </c>
      <c r="O66" s="18">
        <f t="shared" si="4"/>
        <v>0</v>
      </c>
      <c r="P66" s="19">
        <f t="shared" si="5"/>
        <v>-7.2096128170894644</v>
      </c>
      <c r="Q66" s="20">
        <f t="shared" si="6"/>
        <v>0.9579439252336448</v>
      </c>
      <c r="R66" s="170"/>
      <c r="S66" s="27">
        <v>0.39097222222222217</v>
      </c>
      <c r="T66" s="27">
        <v>0.46527777777777773</v>
      </c>
      <c r="U66" s="4">
        <f t="shared" si="48"/>
        <v>7.9999999999999716</v>
      </c>
      <c r="V66" s="21">
        <f t="shared" si="47"/>
        <v>107.00000000000001</v>
      </c>
      <c r="W66" s="22">
        <f>T66</f>
        <v>0.46527777777777773</v>
      </c>
      <c r="X66" s="22">
        <f>S67</f>
        <v>0.50555555555555542</v>
      </c>
      <c r="Y66" s="22"/>
      <c r="Z66" s="22"/>
      <c r="AA66" s="162"/>
      <c r="AB66" s="162"/>
      <c r="AC66" s="24"/>
      <c r="AD66" s="24"/>
      <c r="AE66" s="18">
        <f t="shared" si="43"/>
        <v>-100.9345794392525</v>
      </c>
      <c r="AF66" s="20">
        <f t="shared" si="9"/>
        <v>0.9579439252336448</v>
      </c>
      <c r="AG66" s="170"/>
    </row>
    <row r="67" spans="1:33" ht="15.75" customHeight="1">
      <c r="A67" s="168" t="s">
        <v>2136</v>
      </c>
      <c r="B67" s="4" t="s">
        <v>97</v>
      </c>
      <c r="C67" s="163" t="s">
        <v>132</v>
      </c>
      <c r="D67" s="163"/>
      <c r="E67" s="35">
        <v>19.02</v>
      </c>
      <c r="F67" s="4">
        <v>5815</v>
      </c>
      <c r="G67" s="4">
        <f t="shared" si="45"/>
        <v>110601.3</v>
      </c>
      <c r="H67" s="21" t="s">
        <v>133</v>
      </c>
      <c r="I67" s="15">
        <v>14</v>
      </c>
      <c r="J67" s="17">
        <v>2400</v>
      </c>
      <c r="K67" s="16">
        <f t="shared" si="1"/>
        <v>171.42857142857142</v>
      </c>
      <c r="L67" s="15">
        <v>14</v>
      </c>
      <c r="M67" s="17">
        <f t="shared" si="46"/>
        <v>2295.3947368421059</v>
      </c>
      <c r="N67" s="16">
        <f t="shared" si="3"/>
        <v>163.95676691729327</v>
      </c>
      <c r="O67" s="18">
        <f t="shared" si="4"/>
        <v>0</v>
      </c>
      <c r="P67" s="19">
        <f t="shared" si="5"/>
        <v>-7.471804511278151</v>
      </c>
      <c r="Q67" s="20">
        <f t="shared" si="6"/>
        <v>0.95641447368421073</v>
      </c>
      <c r="R67" s="170"/>
      <c r="S67" s="27">
        <v>0.50555555555555542</v>
      </c>
      <c r="T67" s="27">
        <v>0.61111111111111094</v>
      </c>
      <c r="U67" s="4">
        <f t="shared" si="48"/>
        <v>57.999999999999872</v>
      </c>
      <c r="V67" s="21">
        <f t="shared" si="47"/>
        <v>151.99999999999994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3"/>
        <v>-104.60526315789411</v>
      </c>
      <c r="AF67" s="20">
        <f t="shared" si="9"/>
        <v>0.95641447368421073</v>
      </c>
      <c r="AG67" s="170"/>
    </row>
    <row r="68" spans="1:33" ht="16.5" customHeight="1">
      <c r="A68" s="169" t="s">
        <v>75</v>
      </c>
      <c r="B68" s="35" t="s">
        <v>48</v>
      </c>
      <c r="C68" s="164"/>
      <c r="D68" s="165"/>
      <c r="E68" s="36"/>
      <c r="F68" s="16"/>
      <c r="G68" s="16"/>
      <c r="H68" s="4"/>
      <c r="I68" s="29">
        <v>15.166666666666666</v>
      </c>
      <c r="J68" s="17">
        <v>2400</v>
      </c>
      <c r="K68" s="16">
        <f t="shared" si="1"/>
        <v>158.24175824175825</v>
      </c>
      <c r="L68" s="29">
        <v>15.166666666666666</v>
      </c>
      <c r="M68" s="17">
        <f>AVERAGE(M62:M67)</f>
        <v>2303.888549918785</v>
      </c>
      <c r="N68" s="16">
        <f t="shared" si="3"/>
        <v>151.90473955508472</v>
      </c>
      <c r="O68" s="18">
        <f t="shared" si="4"/>
        <v>0</v>
      </c>
      <c r="P68" s="19">
        <f t="shared" si="5"/>
        <v>-6.337018686673531</v>
      </c>
      <c r="Q68" s="20">
        <f t="shared" si="6"/>
        <v>0.95995356246616037</v>
      </c>
      <c r="R68" s="170"/>
      <c r="S68" s="27"/>
      <c r="T68" s="27"/>
      <c r="U68" s="16"/>
      <c r="V68" s="21"/>
      <c r="W68" s="16"/>
      <c r="X68" s="16"/>
      <c r="Y68" s="30">
        <f>SUM(Y62:Y67)</f>
        <v>0</v>
      </c>
      <c r="Z68" s="30">
        <f>SUM(Z62:Z67)</f>
        <v>0</v>
      </c>
      <c r="AA68" s="166"/>
      <c r="AB68" s="166"/>
      <c r="AC68" s="30">
        <v>6</v>
      </c>
      <c r="AD68" s="30">
        <f>SUM(AD62:AD67)</f>
        <v>0</v>
      </c>
      <c r="AE68" s="18">
        <f t="shared" si="43"/>
        <v>-96.111450081215025</v>
      </c>
      <c r="AF68" s="20">
        <f t="shared" si="9"/>
        <v>0.95995356246616037</v>
      </c>
      <c r="AG68" s="170"/>
    </row>
    <row r="69" spans="1:33">
      <c r="D69" s="41"/>
      <c r="E69" s="41"/>
    </row>
  </sheetData>
  <mergeCells count="189">
    <mergeCell ref="A62:A68"/>
    <mergeCell ref="C62:D62"/>
    <mergeCell ref="R62:R68"/>
    <mergeCell ref="AA62:AB62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56:A61"/>
    <mergeCell ref="C56:D56"/>
    <mergeCell ref="R56:R61"/>
    <mergeCell ref="AA56:AB56"/>
    <mergeCell ref="AA61:AB61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47:AG55"/>
    <mergeCell ref="C48:D48"/>
    <mergeCell ref="AA48:AB48"/>
    <mergeCell ref="C49:D49"/>
    <mergeCell ref="AA49:AB49"/>
    <mergeCell ref="AA50:AB50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41:A46"/>
    <mergeCell ref="C41:D41"/>
    <mergeCell ref="R41:R46"/>
    <mergeCell ref="AA41:AB41"/>
    <mergeCell ref="AG41:AG46"/>
    <mergeCell ref="C42:D42"/>
    <mergeCell ref="AA42:AB42"/>
    <mergeCell ref="C43:D43"/>
    <mergeCell ref="AA43:AB43"/>
    <mergeCell ref="A33:A40"/>
    <mergeCell ref="C33:D33"/>
    <mergeCell ref="R33:R40"/>
    <mergeCell ref="AA33:AB33"/>
    <mergeCell ref="AA38:AB38"/>
    <mergeCell ref="C39:D39"/>
    <mergeCell ref="AA39:AB39"/>
    <mergeCell ref="C40:D40"/>
    <mergeCell ref="AA40:AB40"/>
    <mergeCell ref="A26:A32"/>
    <mergeCell ref="C26:D26"/>
    <mergeCell ref="R26:R32"/>
    <mergeCell ref="AA26:AB26"/>
    <mergeCell ref="C32:D32"/>
    <mergeCell ref="AA32:AB32"/>
    <mergeCell ref="A19:A25"/>
    <mergeCell ref="C19:D19"/>
    <mergeCell ref="R19:R25"/>
    <mergeCell ref="AA19:AB19"/>
    <mergeCell ref="AA24:AB24"/>
    <mergeCell ref="C25:D25"/>
    <mergeCell ref="AG26:AG32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C30:D30"/>
    <mergeCell ref="AA30:AB30"/>
    <mergeCell ref="C31:D31"/>
    <mergeCell ref="AA31:AB31"/>
    <mergeCell ref="AA25:AB25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8">
    <cfRule type="cellIs" dxfId="210" priority="9" operator="greaterThan">
      <formula>0</formula>
    </cfRule>
  </conditionalFormatting>
  <conditionalFormatting sqref="P5:P68">
    <cfRule type="cellIs" dxfId="209" priority="1" operator="lessThan">
      <formula>0</formula>
    </cfRule>
  </conditionalFormatting>
  <conditionalFormatting sqref="Q5:Q68 AF5:AF68">
    <cfRule type="cellIs" dxfId="208" priority="10" operator="greaterThan">
      <formula>1</formula>
    </cfRule>
    <cfRule type="cellIs" dxfId="207" priority="11" operator="lessThan">
      <formula>0.8</formula>
    </cfRule>
  </conditionalFormatting>
  <conditionalFormatting sqref="R5:R10 AG5:AG10">
    <cfRule type="cellIs" dxfId="206" priority="47" operator="lessThan">
      <formula>0.8</formula>
    </cfRule>
  </conditionalFormatting>
  <conditionalFormatting sqref="AE5:AE68">
    <cfRule type="cellIs" dxfId="205" priority="12" operator="lessThan">
      <formula>0</formula>
    </cfRule>
  </conditionalFormatting>
  <conditionalFormatting sqref="AG14:AG59 R14:R68">
    <cfRule type="cellIs" dxfId="204" priority="13" operator="lessThan">
      <formula>0.8</formula>
    </cfRule>
  </conditionalFormatting>
  <dataValidations count="1">
    <dataValidation type="list" allowBlank="1" showInputMessage="1" showErrorMessage="1" sqref="AB9 AA5:AB8 AB60 AA9:AA60 AB11:AB56 AA61:AB68" xr:uid="{00000000-0002-0000-0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Q32"/>
  <sheetViews>
    <sheetView zoomScale="85" zoomScaleNormal="85" workbookViewId="0">
      <selection activeCell="I8" sqref="I8:J8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134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1975</v>
      </c>
      <c r="C3" s="151" t="str">
        <f>TEXT('0323 4度C'!A2,"yyyy.mm.ddaaaa")</f>
        <v>2026.03.23星期一</v>
      </c>
      <c r="D3" s="152"/>
      <c r="E3" s="45" t="s">
        <v>136</v>
      </c>
      <c r="F3" s="153">
        <f>'0323 4度C'!D1</f>
        <v>164013</v>
      </c>
      <c r="G3" s="154"/>
      <c r="H3" s="45" t="s">
        <v>1976</v>
      </c>
      <c r="I3" s="155">
        <f>'0323 4度C'!F1</f>
        <v>5404579.1099999975</v>
      </c>
      <c r="J3" s="156"/>
      <c r="K3" s="46"/>
      <c r="L3" s="47"/>
      <c r="M3" s="47"/>
      <c r="N3" s="47"/>
    </row>
    <row r="4" spans="2:17" ht="28.5" customHeight="1">
      <c r="B4" s="157" t="s">
        <v>1977</v>
      </c>
      <c r="C4" s="143" t="s">
        <v>1978</v>
      </c>
      <c r="D4" s="144"/>
      <c r="E4" s="160" t="s">
        <v>1979</v>
      </c>
      <c r="F4" s="161"/>
      <c r="G4" s="160" t="s">
        <v>1980</v>
      </c>
      <c r="H4" s="161"/>
      <c r="I4" s="160" t="s">
        <v>1981</v>
      </c>
      <c r="J4" s="161"/>
      <c r="K4" s="141" t="s">
        <v>143</v>
      </c>
      <c r="L4" s="142"/>
      <c r="M4" s="142" t="s">
        <v>1982</v>
      </c>
      <c r="N4" s="142"/>
    </row>
    <row r="5" spans="2:17" ht="28.5" customHeight="1">
      <c r="B5" s="158"/>
      <c r="C5" s="143" t="s">
        <v>1983</v>
      </c>
      <c r="D5" s="144"/>
      <c r="E5" s="143" t="s">
        <v>1984</v>
      </c>
      <c r="F5" s="144"/>
      <c r="G5" s="145" t="s">
        <v>1985</v>
      </c>
      <c r="H5" s="146"/>
      <c r="I5" s="147" t="s">
        <v>1986</v>
      </c>
      <c r="J5" s="148"/>
      <c r="K5" s="48" t="s">
        <v>1987</v>
      </c>
      <c r="L5" s="49" t="s">
        <v>1988</v>
      </c>
      <c r="M5" s="48" t="s">
        <v>1987</v>
      </c>
      <c r="N5" s="49" t="s">
        <v>1989</v>
      </c>
    </row>
    <row r="6" spans="2:17" ht="28.5" customHeight="1">
      <c r="B6" s="158"/>
      <c r="C6" s="143" t="s">
        <v>153</v>
      </c>
      <c r="D6" s="144"/>
      <c r="E6" s="135">
        <f>AVERAGE(D13:M13)</f>
        <v>156.00195303896379</v>
      </c>
      <c r="F6" s="136">
        <f>AVERAGE(D31:O31,D13:J13)</f>
        <v>161.9608320137045</v>
      </c>
      <c r="G6" s="137">
        <f>AVERAGE(D13:J13)</f>
        <v>161.9608320137045</v>
      </c>
      <c r="H6" s="138"/>
      <c r="I6" s="137">
        <f>AVERAGE(K13:M13)</f>
        <v>142.09790209790211</v>
      </c>
      <c r="J6" s="138"/>
      <c r="K6" s="139">
        <f>'0323 4度C'!Y2</f>
        <v>0</v>
      </c>
      <c r="L6" s="124">
        <f>'0323 4度C'!Z2</f>
        <v>0</v>
      </c>
      <c r="M6" s="140">
        <f>'0323 4度C'!AC2</f>
        <v>54</v>
      </c>
      <c r="N6" s="124">
        <f>'0323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149.48601213390927</v>
      </c>
      <c r="F7" s="128">
        <f>AVERAGE(D32:O32,D14:J14)</f>
        <v>155.24028784388221</v>
      </c>
      <c r="G7" s="129">
        <f>AVERAGE(D14:J14)</f>
        <v>155.24028784388221</v>
      </c>
      <c r="H7" s="130"/>
      <c r="I7" s="129">
        <f>AVERAGE(K14:M14)</f>
        <v>136.05936881063906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0.95801177723538944</v>
      </c>
      <c r="F8" s="132">
        <f>AVERAGE(D15:J15,D33:O33)</f>
        <v>0.95820721731891234</v>
      </c>
      <c r="G8" s="133">
        <f>AVERAGE(D15:J15)</f>
        <v>0.95820721731891234</v>
      </c>
      <c r="H8" s="134"/>
      <c r="I8" s="133">
        <f>AVERAGE(K15:M15)</f>
        <v>0.95755575037383567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1990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158</v>
      </c>
      <c r="E10" s="110"/>
      <c r="F10" s="110"/>
      <c r="G10" s="110"/>
      <c r="H10" s="110"/>
      <c r="I10" s="110"/>
      <c r="J10" s="111"/>
      <c r="K10" s="112" t="s">
        <v>1991</v>
      </c>
      <c r="L10" s="113"/>
      <c r="M10" s="114"/>
      <c r="P10" s="53"/>
      <c r="Q10" s="53"/>
    </row>
    <row r="11" spans="2:17" ht="17.25" customHeight="1">
      <c r="B11" s="115" t="s">
        <v>1992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1993</v>
      </c>
      <c r="C13" s="60" t="s">
        <v>1994</v>
      </c>
      <c r="D13" s="61">
        <f>SUMIFS('0323 4度C'!$K:$K,'0323 4度C'!$A:$A,"新豐6線",'0323 4度C'!$B:$B,"平均")</f>
        <v>111.11111111111111</v>
      </c>
      <c r="E13" s="62">
        <f>SUMIFS('0323 4度C'!$K:$K,'0323 4度C'!$A:$A,"新豐2線",'0323 4度C'!$B:$B,"平均")</f>
        <v>84.905660377358487</v>
      </c>
      <c r="F13" s="63">
        <f>SUMIFS('0323 4度C'!$K:$K,'0323 4度C'!$A:$A,"新豐5線",'0323 4度C'!$B:$B,"平均")</f>
        <v>102.73972602739725</v>
      </c>
      <c r="G13" s="63">
        <f>SUMIFS('0323 4度C'!$K:$K,'0323 4度C'!$A:$A,"新豐7線",'0323 4度C'!$B:$B,"平均")</f>
        <v>128.37837837837839</v>
      </c>
      <c r="H13" s="63">
        <f>SUMIFS('0323 4度C'!$K:$K,'0323 4度C'!$A:$A,"新豐3線",'0323 4度C'!$B:$B,"平均")</f>
        <v>333.33333333333331</v>
      </c>
      <c r="I13" s="63">
        <f>SUMIFS('0323 4度C'!$K:$K,'0323 4度C'!$A:$A,"新豐1線",'0323 4度C'!$B:$B,"平均")</f>
        <v>104.02684563758389</v>
      </c>
      <c r="J13" s="64">
        <f>SUMIFS('0323 4度C'!$K:$K,'0323 4度C'!$A:$A,"新豐10線",'0323 4度C'!$B:$B,"平均")</f>
        <v>269.23076923076923</v>
      </c>
      <c r="K13" s="65">
        <f>SUMIFS('0323 4度C'!$K:$K,'0323 4度C'!$A:$A,"新豐8線",'0323 4度C'!$B:$B,"平均")</f>
        <v>130.90909090909091</v>
      </c>
      <c r="L13" s="66">
        <f>SUMIFS('0323 4度C'!$K:$K,'0323 4度C'!$A:$A,"新豐9線",'0323 4度C'!$B:$B,"平均")</f>
        <v>137.14285714285714</v>
      </c>
      <c r="M13" s="64">
        <f>SUMIFS('0323 4度C'!$K:$K,'0323 4度C'!$A:$A,"新豐4線",'0323 4度C'!$B:$B,"平均")</f>
        <v>158.24175824175825</v>
      </c>
    </row>
    <row r="14" spans="2:17" ht="39.6" customHeight="1">
      <c r="B14" s="120"/>
      <c r="C14" s="67" t="s">
        <v>1995</v>
      </c>
      <c r="D14" s="68">
        <f>SUMIFS('0323 4度C'!$N:$N,'0323 4度C'!$A:$A,"新豐6線",'0323 4度C'!$B:$B,"平均")</f>
        <v>106.55058313976009</v>
      </c>
      <c r="E14" s="69">
        <f>SUMIFS('0323 4度C'!$N:$N,'0323 4度C'!$A:$A,"新豐2線",'0323 4度C'!$B:$B,"平均")</f>
        <v>80.993261609837546</v>
      </c>
      <c r="F14" s="69">
        <f>SUMIFS('0323 4度C'!$N:$N,'0323 4度C'!$A:$A,"新豐5線",'0323 4度C'!$B:$B,"平均")</f>
        <v>98.891530237220266</v>
      </c>
      <c r="G14" s="69">
        <f>SUMIFS('0323 4度C'!$N:$N,'0323 4度C'!$A:$A,"新豐7線",'0323 4度C'!$B:$B,"平均")</f>
        <v>123.26465738209384</v>
      </c>
      <c r="H14" s="69">
        <f>SUMIFS('0323 4度C'!$N:$N,'0323 4度C'!$A:$A,"新豐3線",'0323 4度C'!$B:$B,"平均")</f>
        <v>318.37604329350842</v>
      </c>
      <c r="I14" s="69">
        <f>SUMIFS('0323 4度C'!$N:$N,'0323 4度C'!$A:$A,"新豐1線",'0323 4度C'!$B:$B,"平均")</f>
        <v>99.136883431697854</v>
      </c>
      <c r="J14" s="70">
        <f>SUMIFS('0323 4度C'!$N:$N,'0323 4度C'!$A:$A,"新豐10線",'0323 4度C'!$B:$B,"平均")</f>
        <v>259.46905581305759</v>
      </c>
      <c r="K14" s="71">
        <f>SUMIFS('0323 4度C'!$N:$N,'0323 4度C'!$A:$A,"新豐8線",'0323 4度C'!$B:$B,"平均")</f>
        <v>125.30764967796478</v>
      </c>
      <c r="L14" s="72">
        <f>SUMIFS('0323 4度C'!$N:$N,'0323 4度C'!$A:$A,"新豐9線",'0323 4度C'!$B:$B,"平均")</f>
        <v>131.52538478313647</v>
      </c>
      <c r="M14" s="70">
        <f>SUMIFS('0323 4度C'!$N:$N,'0323 4度C'!$A:$A,"新豐4線",'0323 4度C'!$B:$B,"平均")</f>
        <v>151.34507197081589</v>
      </c>
    </row>
    <row r="15" spans="2:17" ht="40.15" customHeight="1">
      <c r="B15" s="121"/>
      <c r="C15" s="73" t="s">
        <v>1996</v>
      </c>
      <c r="D15" s="74">
        <f t="shared" ref="D15:M15" si="0">D14/D13</f>
        <v>0.95895524825784084</v>
      </c>
      <c r="E15" s="75">
        <f t="shared" si="0"/>
        <v>0.95392063673808669</v>
      </c>
      <c r="F15" s="75">
        <f t="shared" si="0"/>
        <v>0.96254422764227732</v>
      </c>
      <c r="G15" s="75">
        <f t="shared" si="0"/>
        <v>0.96016680487104678</v>
      </c>
      <c r="H15" s="75">
        <f t="shared" si="0"/>
        <v>0.95512812988052531</v>
      </c>
      <c r="I15" s="75">
        <f t="shared" si="0"/>
        <v>0.95299326653696648</v>
      </c>
      <c r="J15" s="76">
        <f t="shared" si="0"/>
        <v>0.96374220730564253</v>
      </c>
      <c r="K15" s="74">
        <f t="shared" si="0"/>
        <v>0.95721121281778654</v>
      </c>
      <c r="L15" s="75">
        <f t="shared" si="0"/>
        <v>0.95903926404370343</v>
      </c>
      <c r="M15" s="76">
        <f t="shared" si="0"/>
        <v>0.95641677426001703</v>
      </c>
    </row>
    <row r="16" spans="2:17" ht="17.25" customHeight="1">
      <c r="B16" s="122" t="s">
        <v>1997</v>
      </c>
      <c r="C16" s="77" t="s">
        <v>1998</v>
      </c>
      <c r="D16" s="78">
        <f>VLOOKUP("新豐6線",'0323 4度C'!$A:$T,19,0)</f>
        <v>0.70833333333333337</v>
      </c>
      <c r="E16" s="79">
        <f>VLOOKUP("新豐2線",'0323 4度C'!$A:$T,19,0)</f>
        <v>0.20833333333333334</v>
      </c>
      <c r="F16" s="79">
        <f>VLOOKUP("新豐5線",'0323 4度C'!$A:$T,19,0)</f>
        <v>0.20833333333333334</v>
      </c>
      <c r="G16" s="79">
        <f>VLOOKUP("新豐7線",'0323 4度C'!$A:$T,19,0)</f>
        <v>0.20833333333333334</v>
      </c>
      <c r="H16" s="79">
        <f>VLOOKUP("新豐3線",'0323 4度C'!$A:$T,19,0)</f>
        <v>8.3333333333333329E-2</v>
      </c>
      <c r="I16" s="79">
        <f>VLOOKUP("新豐1線",'0323 4度C'!$A:$T,19,0)</f>
        <v>0.20833333333333334</v>
      </c>
      <c r="J16" s="80">
        <f>VLOOKUP("新豐10線",'0323 4度C'!$A:$T,19,0)</f>
        <v>0.20833333333333334</v>
      </c>
      <c r="K16" s="81">
        <f>VLOOKUP("新豐8線",'0323 4度C'!$A:$T,19,0)</f>
        <v>8.3333333333333329E-2</v>
      </c>
      <c r="L16" s="82">
        <f>VLOOKUP("新豐9線",'0323 4度C'!$A:$T,19,0)</f>
        <v>8.3333333333333329E-2</v>
      </c>
      <c r="M16" s="83">
        <f>VLOOKUP("新豐4線",'0323 4度C'!$A:$T,19,0)</f>
        <v>8.3333333333333329E-2</v>
      </c>
    </row>
    <row r="17" spans="2:13" ht="17.25" customHeight="1">
      <c r="B17" s="123"/>
      <c r="C17" s="77" t="s">
        <v>1999</v>
      </c>
      <c r="D17" s="81">
        <f>LOOKUP(2,1/(('0323 4度C'!$A:$A="新豐6線")*('0323 4度C'!$T:$T&lt;&gt;"")),'0323 4度C'!$T:$T)</f>
        <v>0.82986111111111105</v>
      </c>
      <c r="E17" s="79">
        <f>LOOKUP(2,1/(('0323 4度C'!$A:$A="新豐2線")*('0323 4度C'!$T:$T&lt;&gt;"")),'0323 4度C'!$T:$T)</f>
        <v>0.6055555555555554</v>
      </c>
      <c r="F17" s="79">
        <f>LOOKUP(2,1/(('0323 4度C'!$A:$A="新豐5線")*('0323 4度C'!$T:$T&lt;&gt;"")),'0323 4度C'!$T:$T)</f>
        <v>0.84236111111111112</v>
      </c>
      <c r="G17" s="79">
        <f>LOOKUP(2,1/(('0323 4度C'!$A:$A="新豐7線")*('0323 4度C'!$T:$T&lt;&gt;"")),'0323 4度C'!$T:$T)</f>
        <v>0.85138888888888886</v>
      </c>
      <c r="H17" s="79">
        <f>LOOKUP(2,1/(('0323 4度C'!$A:$A="新豐3線")*('0323 4度C'!$T:$T&lt;&gt;"")),'0323 4度C'!$T:$T)</f>
        <v>0.46388888888888885</v>
      </c>
      <c r="I17" s="79">
        <f>LOOKUP(2,1/(('0323 4度C'!$A:$A="新豐1線")*('0323 4度C'!$T:$T&lt;&gt;"")),'0323 4度C'!$T:$T)</f>
        <v>0.90347222222222223</v>
      </c>
      <c r="J17" s="80">
        <f>LOOKUP(2,1/(('0323 4度C'!$A:$A="新豐10線")*('0323 4度C'!$T:$T&lt;&gt;"")),'0323 4度C'!$T:$T)</f>
        <v>0.46111111111111108</v>
      </c>
      <c r="K17" s="78">
        <f>LOOKUP(2,1/(('0323 4度C'!$A:$A="新豐8線")*('0323 4度C'!$T:$T&lt;&gt;"")),'0323 4度C'!$T:$T)</f>
        <v>0.61249999999999993</v>
      </c>
      <c r="L17" s="79">
        <f>LOOKUP(2,1/(('0323 4度C'!$A:$A="新豐9線")*('0323 4度C'!$T:$T&lt;&gt;"")),'0323 4度C'!$T:$T)</f>
        <v>0.65486111111111101</v>
      </c>
      <c r="M17" s="80">
        <f>LOOKUP(2,1/(('0323 4度C'!$A:$A="新豐4線")*('0323 4度C'!$T:$T&lt;&gt;"")),'0323 4度C'!$T:$T)</f>
        <v>0.62152777777777768</v>
      </c>
    </row>
    <row r="18" spans="2:13" ht="17.25" customHeight="1">
      <c r="B18" s="101" t="s">
        <v>2000</v>
      </c>
      <c r="C18" s="84" t="s">
        <v>2001</v>
      </c>
      <c r="D18" s="85">
        <f>SUMIFS('0323 4度C'!$Y:$Y,'0323 4度C'!$A:$A,"新豐6線",'0323 4度C'!$B:$B,"平均")</f>
        <v>0</v>
      </c>
      <c r="E18" s="86">
        <f>SUMIFS('0323 4度C'!$Y:$Y,'0323 4度C'!$A:$A,"新豐2線",'0323 4度C'!$B:$B,"平均")</f>
        <v>0</v>
      </c>
      <c r="F18" s="86">
        <f>SUMIFS('0323 4度C'!$Y:$Y,'0323 4度C'!$A:$A,"新豐5線",'0323 4度C'!$B:$B,"平均")</f>
        <v>0</v>
      </c>
      <c r="G18" s="86">
        <f>SUMIFS('0323 4度C'!$Y:$Y,'0323 4度C'!$A:$A,"新豐7線",'0323 4度C'!$B:$B,"平均")</f>
        <v>0</v>
      </c>
      <c r="H18" s="86">
        <f>SUMIFS('0323 4度C'!$Y:$Y,'0323 4度C'!$A:$A,"新豐3線",'0323 4度C'!$B:$B,"平均")</f>
        <v>0</v>
      </c>
      <c r="I18" s="86">
        <f>SUMIFS('0323 4度C'!$Y:$Y,'0323 4度C'!$A:$A,"新豐1線",'0323 4度C'!$B:$B,"平均")</f>
        <v>0</v>
      </c>
      <c r="J18" s="87">
        <f>SUMIFS('0323 4度C'!$Y:$Y,'0323 4度C'!$A:$A,"新豐10線",'0323 4度C'!$B:$B,"平均")</f>
        <v>0</v>
      </c>
      <c r="K18" s="88">
        <f>SUMIFS('0323 4度C'!$Y:$Y,'0323 4度C'!$A:$A,"新豐8線",'0323 4度C'!$B:$B,"平均")</f>
        <v>0</v>
      </c>
      <c r="L18" s="86">
        <f>SUMIFS('0323 4度C'!$Y:$Y,'0323 4度C'!$A:$A,"新豐9線",'0323 4度C'!$B:$B,"平均")</f>
        <v>0</v>
      </c>
      <c r="M18" s="87">
        <f>SUMIFS('0323 4度C'!$Y:$Y,'0323 4度C'!$A:$A,"新豐4線",'0323 4度C'!$B:$B,"平均")</f>
        <v>0</v>
      </c>
    </row>
    <row r="19" spans="2:13" ht="17.25" customHeight="1">
      <c r="B19" s="102"/>
      <c r="C19" s="84" t="s">
        <v>2002</v>
      </c>
      <c r="D19" s="85">
        <f>SUMIFS('0323 4度C'!$Z:$Z,'0323 4度C'!$A:$A,"新豐6線",'0323 4度C'!$B:$B,"平均")</f>
        <v>0</v>
      </c>
      <c r="E19" s="86">
        <f>SUMIFS('0323 4度C'!$Z:$Z,'0323 4度C'!$A:$A,"新豐2線",'0323 4度C'!$B:$B,"平均")</f>
        <v>0</v>
      </c>
      <c r="F19" s="86">
        <f>SUMIFS('0323 4度C'!$Z:$Z,'0323 4度C'!$A:$A,"新豐5線",'0323 4度C'!$B:$B,"平均")</f>
        <v>0</v>
      </c>
      <c r="G19" s="86">
        <f>SUMIFS('0323 4度C'!$Z:$Z,'0323 4度C'!$A:$A,"新豐7線",'0323 4度C'!$B:$B,"平均")</f>
        <v>0</v>
      </c>
      <c r="H19" s="86">
        <f>SUMIFS('0323 4度C'!$Z:$Z,'0323 4度C'!$A:$A,"新豐3線",'0323 4度C'!$B:$B,"平均")</f>
        <v>0</v>
      </c>
      <c r="I19" s="86">
        <f>SUMIFS('0323 4度C'!$Z:$Z,'0323 4度C'!$A:$A,"新豐1線",'0323 4度C'!$B:$B,"平均")</f>
        <v>0</v>
      </c>
      <c r="J19" s="87">
        <f>SUMIFS('0323 4度C'!$Z:$Z,'0323 4度C'!$A:$A,"新豐10線",'0323 4度C'!$B:$B,"平均")</f>
        <v>0</v>
      </c>
      <c r="K19" s="88">
        <f>SUMIFS('0323 4度C'!$Z:$Z,'0323 4度C'!$A:$A,"新豐8線",'0323 4度C'!$B:$B,"平均")</f>
        <v>0</v>
      </c>
      <c r="L19" s="86">
        <f>SUMIFS('0323 4度C'!$Z:$Z,'0323 4度C'!$A:$A,"新豐9線",'0323 4度C'!$B:$B,"平均")</f>
        <v>0</v>
      </c>
      <c r="M19" s="87">
        <f>SUMIFS('0323 4度C'!$Z:$Z,'0323 4度C'!$A:$A,"新豐4線",'0323 4度C'!$B:$B,"平均")</f>
        <v>0</v>
      </c>
    </row>
    <row r="20" spans="2:13" ht="17.25" customHeight="1">
      <c r="B20" s="101" t="s">
        <v>2003</v>
      </c>
      <c r="C20" s="84" t="s">
        <v>2004</v>
      </c>
      <c r="D20" s="85">
        <f>SUMIFS('0323 4度C'!$AC:$AC,'0323 4度C'!$A:$A,"新豐6線",'0323 4度C'!$B:$B,"平均")</f>
        <v>4</v>
      </c>
      <c r="E20" s="86">
        <f>SUMIFS('0323 4度C'!$AC:$AC,'0323 4度C'!$A:$A,"新豐2線",'0323 4度C'!$B:$B,"平均")</f>
        <v>3</v>
      </c>
      <c r="F20" s="86">
        <f>SUMIFS('0323 4度C'!$AC:$AC,'0323 4度C'!$A:$A,"新豐5線",'0323 4度C'!$B:$B,"平均")</f>
        <v>4</v>
      </c>
      <c r="G20" s="86">
        <f>SUMIFS('0323 4度C'!$AC:$AC,'0323 4度C'!$A:$A,"新豐7線",'0323 4度C'!$B:$B,"平均")</f>
        <v>5</v>
      </c>
      <c r="H20" s="86">
        <f>SUMIFS('0323 4度C'!$AC:$AC,'0323 4度C'!$A:$A,"新豐3線",'0323 4度C'!$B:$B,"平均")</f>
        <v>5</v>
      </c>
      <c r="I20" s="86">
        <f>SUMIFS('0323 4度C'!$AC:$AC,'0323 4度C'!$A:$A,"新豐1線",'0323 4度C'!$B:$B,"平均")</f>
        <v>8</v>
      </c>
      <c r="J20" s="87">
        <f>SUMIFS('0323 4度C'!$AC:$AC,'0323 4度C'!$A:$A,"新豐10線",'0323 4度C'!$B:$B,"平均")</f>
        <v>5</v>
      </c>
      <c r="K20" s="88">
        <f>SUMIFS('0323 4度C'!$AC:$AC,'0323 4度C'!$A:$A,"新豐8線",'0323 4度C'!$B:$B,"平均")</f>
        <v>6</v>
      </c>
      <c r="L20" s="86">
        <f>SUMIFS('0323 4度C'!$AC:$AC,'0323 4度C'!$A:$A,"新豐9線",'0323 4度C'!$B:$B,"平均")</f>
        <v>8</v>
      </c>
      <c r="M20" s="87">
        <f>SUMIFS('0323 4度C'!$AC:$AC,'0323 4度C'!$A:$A,"新豐4線",'0323 4度C'!$B:$B,"平均")</f>
        <v>6</v>
      </c>
    </row>
    <row r="21" spans="2:13" ht="17.25" customHeight="1">
      <c r="B21" s="102"/>
      <c r="C21" s="84" t="s">
        <v>2005</v>
      </c>
      <c r="D21" s="85">
        <f>SUMIFS('0323 4度C'!$AD:$AD,'0323 4度C'!$A:$A,"新豐6線",'0323 4度C'!$B:$B,"平均")</f>
        <v>0</v>
      </c>
      <c r="E21" s="86">
        <f>SUMIFS('0323 4度C'!$AD:$AD,'0323 4度C'!$A:$A,"新豐2線",'0323 4度C'!$B:$B,"平均")</f>
        <v>0</v>
      </c>
      <c r="F21" s="86">
        <f>SUMIFS('0323 4度C'!$AD:$AD,'0323 4度C'!$A:$A,"新豐5線",'0323 4度C'!$B:$B,"平均")</f>
        <v>0</v>
      </c>
      <c r="G21" s="86">
        <f>SUMIFS('0323 4度C'!$AD:$AD,'0323 4度C'!$A:$A,"新豐7線",'0323 4度C'!$B:$B,"平均")</f>
        <v>0</v>
      </c>
      <c r="H21" s="86">
        <f>SUMIFS('0323 4度C'!$AD:$AD,'0323 4度C'!$A:$A,"新豐3線",'0323 4度C'!$B:$B,"平均")</f>
        <v>0</v>
      </c>
      <c r="I21" s="86">
        <f>SUMIFS('0323 4度C'!$AD:$AD,'0323 4度C'!$A:$A,"新豐1線",'0323 4度C'!$B:$B,"平均")</f>
        <v>0</v>
      </c>
      <c r="J21" s="87">
        <f>SUMIFS('0323 4度C'!$AD:$AD,'0323 4度C'!$A:$A,"新豐10線",'0323 4度C'!$B:$B,"平均")</f>
        <v>0</v>
      </c>
      <c r="K21" s="88">
        <f>SUMIFS('0323 4度C'!$AD:$AD,'0323 4度C'!$A:$A,"新豐8線",'0323 4度C'!$B:$B,"平均")</f>
        <v>0</v>
      </c>
      <c r="L21" s="86">
        <f>SUMIFS('0323 4度C'!$AD:$AD,'0323 4度C'!$A:$A,"新豐9線",'0323 4度C'!$B:$B,"平均")</f>
        <v>0</v>
      </c>
      <c r="M21" s="87">
        <f>SUMIFS('0323 4度C'!$AD:$AD,'0323 4度C'!$A:$A,"新豐4線",'0323 4度C'!$B:$B,"平均")</f>
        <v>0</v>
      </c>
    </row>
    <row r="22" spans="2:13" ht="17.25" customHeight="1">
      <c r="B22" s="103" t="s">
        <v>2006</v>
      </c>
      <c r="C22" s="104"/>
      <c r="D22" s="89">
        <f>SUMIFS('0323 4度C'!$I:$I,'0323 4度C'!$A:$A,"新豐6線",'0323 4度C'!$B:$B,"平均")</f>
        <v>18</v>
      </c>
      <c r="E22" s="90">
        <f>SUMIFS('0323 4度C'!$I:$I,'0323 4度C'!$A:$A,"新豐2線",'0323 4度C'!$B:$B,"平均")</f>
        <v>17.666666666666668</v>
      </c>
      <c r="F22" s="90">
        <f>SUMIFS('0323 4度C'!$I:$I,'0323 4度C'!$A:$A,"新豐5線",'0323 4度C'!$B:$B,"平均")</f>
        <v>18.25</v>
      </c>
      <c r="G22" s="90">
        <f>SUMIFS('0323 4度C'!$I:$I,'0323 4度C'!$A:$A,"新豐7線",'0323 4度C'!$B:$B,"平均")</f>
        <v>14.8</v>
      </c>
      <c r="H22" s="90">
        <f>SUMIFS('0323 4度C'!$I:$I,'0323 4度C'!$A:$A,"新豐3線",'0323 4度C'!$B:$B,"平均")</f>
        <v>9</v>
      </c>
      <c r="I22" s="90">
        <f>SUMIFS('0323 4度C'!$I:$I,'0323 4度C'!$A:$A,"新豐1線",'0323 4度C'!$B:$B,"平均")</f>
        <v>18.625</v>
      </c>
      <c r="J22" s="91">
        <f>SUMIFS('0323 4度C'!$I:$I,'0323 4度C'!$A:$A,"新豐10線",'0323 4度C'!$B:$B,"平均")</f>
        <v>10.4</v>
      </c>
      <c r="K22" s="89">
        <f>SUMIFS('0323 4度C'!$I:$I,'0323 4度C'!$A:$A,"新豐8線",'0323 4度C'!$B:$B,"平均")</f>
        <v>18.333333333333332</v>
      </c>
      <c r="L22" s="90">
        <f>SUMIFS('0323 4度C'!$I:$I,'0323 4度C'!$A:$A,"新豐9線",'0323 4度C'!$B:$B,"平均")</f>
        <v>17.5</v>
      </c>
      <c r="M22" s="91">
        <f>SUMIFS('0323 4度C'!$I:$I,'0323 4度C'!$A:$A,"新豐4線",'0323 4度C'!$B:$B,"平均")</f>
        <v>15.166666666666666</v>
      </c>
    </row>
    <row r="23" spans="2:13" ht="17.25" customHeight="1">
      <c r="B23" s="103" t="s">
        <v>2007</v>
      </c>
      <c r="C23" s="104"/>
      <c r="D23" s="92" t="s">
        <v>185</v>
      </c>
      <c r="E23" s="93" t="s">
        <v>186</v>
      </c>
      <c r="F23" s="93" t="s">
        <v>2008</v>
      </c>
      <c r="G23" s="93" t="s">
        <v>2008</v>
      </c>
      <c r="H23" s="93" t="s">
        <v>188</v>
      </c>
      <c r="I23" s="93" t="s">
        <v>185</v>
      </c>
      <c r="J23" s="94" t="s">
        <v>188</v>
      </c>
      <c r="K23" s="92" t="s">
        <v>2009</v>
      </c>
      <c r="L23" s="93" t="s">
        <v>2010</v>
      </c>
      <c r="M23" s="94" t="s">
        <v>2009</v>
      </c>
    </row>
    <row r="24" spans="2:13" ht="17.25" customHeight="1">
      <c r="B24" s="103" t="s">
        <v>2011</v>
      </c>
      <c r="C24" s="104"/>
      <c r="D24" s="92"/>
      <c r="E24" s="93"/>
      <c r="F24" s="93" t="s">
        <v>2012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2013</v>
      </c>
      <c r="C25" s="106"/>
      <c r="D25" s="95"/>
      <c r="E25" s="96" t="s">
        <v>2014</v>
      </c>
      <c r="F25" s="99" t="s">
        <v>2015</v>
      </c>
      <c r="G25" s="100"/>
      <c r="H25" s="96" t="s">
        <v>2016</v>
      </c>
      <c r="I25" s="96" t="s">
        <v>2017</v>
      </c>
      <c r="J25" s="97" t="s">
        <v>2018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0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G69"/>
  <sheetViews>
    <sheetView topLeftCell="P1"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2019</v>
      </c>
      <c r="B1" s="1"/>
      <c r="C1" s="2" t="s">
        <v>2020</v>
      </c>
      <c r="D1" s="3">
        <f>SUM(F5:F68)</f>
        <v>164013</v>
      </c>
      <c r="E1" s="4" t="s">
        <v>2021</v>
      </c>
      <c r="F1" s="1">
        <f>SUM(G5:G68)</f>
        <v>5404579.1099999975</v>
      </c>
      <c r="G1" s="1" t="s">
        <v>2022</v>
      </c>
      <c r="H1" s="5">
        <f>L9+L13+L46+L55+L18+L61+L31+L40+L24+L68</f>
        <v>157.74166666666667</v>
      </c>
      <c r="I1" s="212" t="s">
        <v>2023</v>
      </c>
      <c r="J1" s="212"/>
      <c r="K1" s="212"/>
      <c r="L1" s="212" t="s">
        <v>2024</v>
      </c>
      <c r="M1" s="212"/>
      <c r="N1" s="212"/>
      <c r="O1" s="212" t="s">
        <v>2025</v>
      </c>
      <c r="P1" s="212"/>
      <c r="Q1" s="212"/>
      <c r="R1" s="212"/>
      <c r="S1" s="212" t="s">
        <v>2026</v>
      </c>
      <c r="T1" s="212"/>
      <c r="U1" s="212"/>
      <c r="V1" s="212"/>
      <c r="W1" s="212"/>
      <c r="X1" s="212"/>
      <c r="Y1" s="6" t="s">
        <v>2027</v>
      </c>
      <c r="Z1" s="7" t="s">
        <v>2028</v>
      </c>
      <c r="AA1" s="213" t="s">
        <v>2029</v>
      </c>
      <c r="AB1" s="213"/>
      <c r="AC1" s="42" t="s">
        <v>2027</v>
      </c>
      <c r="AD1" s="7" t="s">
        <v>2030</v>
      </c>
      <c r="AE1" s="212" t="s">
        <v>2031</v>
      </c>
      <c r="AF1" s="214"/>
      <c r="AG1" s="214"/>
    </row>
    <row r="2" spans="1:33" ht="26.25" customHeight="1">
      <c r="A2" s="33">
        <v>46104</v>
      </c>
      <c r="B2" s="34" t="s">
        <v>258</v>
      </c>
      <c r="C2" s="2" t="s">
        <v>2032</v>
      </c>
      <c r="D2" s="9">
        <f>AVERAGE(N9,N13,N46,N55,N18,N61,N24,N31,N40,N68)</f>
        <v>149.48601213390927</v>
      </c>
      <c r="E2" s="10" t="s">
        <v>14</v>
      </c>
      <c r="F2" s="11">
        <f>F1/D1</f>
        <v>32.95213861096375</v>
      </c>
      <c r="G2" s="1" t="s">
        <v>2033</v>
      </c>
      <c r="H2" s="12">
        <f>COUNT(H5:H68)</f>
        <v>7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SUM(Y9+Y13+Y18+Y24+Y31+Y40+Y46+Y55+Y61+Y68)</f>
        <v>0</v>
      </c>
      <c r="Z2" s="13">
        <f>SUM(Z9+Z13+Z18+Z24+Z31+Z40+Z46+Z55+Z61+Z68)</f>
        <v>0</v>
      </c>
      <c r="AA2" s="213"/>
      <c r="AB2" s="213"/>
      <c r="AC2" s="13">
        <v>54</v>
      </c>
      <c r="AD2" s="13">
        <f>SUM(AD9+AD13+AD18+AD24+AD31+AD40+AD46+AD55+AD61+AD68)</f>
        <v>0</v>
      </c>
      <c r="AE2" s="214"/>
      <c r="AF2" s="214"/>
      <c r="AG2" s="214"/>
    </row>
    <row r="3" spans="1:33" ht="40.5" customHeight="1">
      <c r="A3" s="162" t="s">
        <v>2034</v>
      </c>
      <c r="B3" s="162" t="s">
        <v>2035</v>
      </c>
      <c r="C3" s="162" t="s">
        <v>2036</v>
      </c>
      <c r="D3" s="162"/>
      <c r="E3" s="210" t="s">
        <v>2037</v>
      </c>
      <c r="F3" s="162" t="s">
        <v>2038</v>
      </c>
      <c r="G3" s="210" t="s">
        <v>2039</v>
      </c>
      <c r="H3" s="204" t="s">
        <v>2040</v>
      </c>
      <c r="I3" s="202" t="s">
        <v>2041</v>
      </c>
      <c r="J3" s="199" t="s">
        <v>2042</v>
      </c>
      <c r="K3" s="209" t="s">
        <v>2032</v>
      </c>
      <c r="L3" s="202" t="s">
        <v>2041</v>
      </c>
      <c r="M3" s="199" t="s">
        <v>2042</v>
      </c>
      <c r="N3" s="209" t="s">
        <v>2032</v>
      </c>
      <c r="O3" s="202" t="s">
        <v>2041</v>
      </c>
      <c r="P3" s="209" t="s">
        <v>2032</v>
      </c>
      <c r="Q3" s="200" t="s">
        <v>2043</v>
      </c>
      <c r="R3" s="178" t="s">
        <v>2044</v>
      </c>
      <c r="S3" s="162" t="s">
        <v>27</v>
      </c>
      <c r="T3" s="162"/>
      <c r="U3" s="204" t="s">
        <v>28</v>
      </c>
      <c r="V3" s="204" t="s">
        <v>2045</v>
      </c>
      <c r="W3" s="162" t="s">
        <v>2046</v>
      </c>
      <c r="X3" s="162"/>
      <c r="Y3" s="205" t="s">
        <v>2047</v>
      </c>
      <c r="Z3" s="166"/>
      <c r="AA3" s="206" t="s">
        <v>2048</v>
      </c>
      <c r="AB3" s="207"/>
      <c r="AC3" s="205" t="s">
        <v>2049</v>
      </c>
      <c r="AD3" s="166"/>
      <c r="AE3" s="199" t="s">
        <v>2050</v>
      </c>
      <c r="AF3" s="200" t="s">
        <v>2051</v>
      </c>
      <c r="AG3" s="178" t="s">
        <v>2044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2052</v>
      </c>
      <c r="X4" s="4" t="s">
        <v>2053</v>
      </c>
      <c r="Y4" s="14" t="s">
        <v>2054</v>
      </c>
      <c r="Z4" s="14" t="s">
        <v>2055</v>
      </c>
      <c r="AA4" s="208"/>
      <c r="AB4" s="207"/>
      <c r="AC4" s="14" t="s">
        <v>2056</v>
      </c>
      <c r="AD4" s="14" t="s">
        <v>2057</v>
      </c>
      <c r="AE4" s="199"/>
      <c r="AF4" s="200"/>
      <c r="AG4" s="178"/>
    </row>
    <row r="5" spans="1:33">
      <c r="A5" s="201" t="s">
        <v>2058</v>
      </c>
      <c r="B5" s="35" t="s">
        <v>78</v>
      </c>
      <c r="C5" s="203" t="s">
        <v>79</v>
      </c>
      <c r="D5" s="203"/>
      <c r="E5" s="35">
        <v>50.67</v>
      </c>
      <c r="F5" s="4">
        <v>1545</v>
      </c>
      <c r="G5" s="4">
        <f t="shared" ref="G5:G8" si="0">E5*F5</f>
        <v>78285.150000000009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8" si="2">F5/V5*60</f>
        <v>1931.2500000000005</v>
      </c>
      <c r="N5" s="16">
        <f t="shared" ref="N5:N68" si="3">M5/L5</f>
        <v>113.60294117647061</v>
      </c>
      <c r="O5" s="18">
        <f t="shared" ref="O5:O68" si="4">L5-I5</f>
        <v>0</v>
      </c>
      <c r="P5" s="19">
        <f t="shared" ref="P5:P68" si="5">N5-K5</f>
        <v>-4.0441176470587976</v>
      </c>
      <c r="Q5" s="20">
        <f t="shared" ref="Q5:Q68" si="6">N5/K5</f>
        <v>0.96562500000000018</v>
      </c>
      <c r="R5" s="170">
        <f>Q9</f>
        <v>0.95895524825784084</v>
      </c>
      <c r="S5" s="27">
        <v>0.70833333333333337</v>
      </c>
      <c r="T5" s="27">
        <v>0.7416666666666667</v>
      </c>
      <c r="U5" s="4"/>
      <c r="V5" s="21">
        <f t="shared" ref="V5:V8" si="7">(T5-S5)*24*60</f>
        <v>47.999999999999986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4" si="8">M5-J5</f>
        <v>-68.749999999999545</v>
      </c>
      <c r="AF5" s="20">
        <f t="shared" ref="AF5:AF68" si="9">M5/J5</f>
        <v>0.96562500000000018</v>
      </c>
      <c r="AG5" s="170">
        <f>AF9</f>
        <v>0.95895524825784084</v>
      </c>
    </row>
    <row r="6" spans="1:33">
      <c r="A6" s="202" t="s">
        <v>2059</v>
      </c>
      <c r="B6" s="35" t="s">
        <v>78</v>
      </c>
      <c r="C6" s="203" t="s">
        <v>80</v>
      </c>
      <c r="D6" s="203"/>
      <c r="E6" s="35">
        <v>54.09</v>
      </c>
      <c r="F6" s="4">
        <v>1313</v>
      </c>
      <c r="G6" s="4">
        <f t="shared" si="0"/>
        <v>71020.17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1921.4634146341459</v>
      </c>
      <c r="N6" s="16">
        <f t="shared" si="3"/>
        <v>101.12965340179716</v>
      </c>
      <c r="O6" s="18">
        <f t="shared" si="4"/>
        <v>0</v>
      </c>
      <c r="P6" s="19">
        <f t="shared" si="5"/>
        <v>-4.1335044929396787</v>
      </c>
      <c r="Q6" s="20">
        <f t="shared" si="6"/>
        <v>0.96073170731707302</v>
      </c>
      <c r="R6" s="170"/>
      <c r="S6" s="27">
        <v>0.74583333333333335</v>
      </c>
      <c r="T6" s="27">
        <v>0.77430555555555558</v>
      </c>
      <c r="U6" s="4">
        <f t="shared" ref="U6:U8" si="10">IF(S6=TIME(17,0,0),"",(S6-T5)*24*60)</f>
        <v>5.9999999999999787</v>
      </c>
      <c r="V6" s="21">
        <f t="shared" si="7"/>
        <v>41.000000000000014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-78.53658536585408</v>
      </c>
      <c r="AF6" s="20">
        <f t="shared" si="9"/>
        <v>0.96073170731707291</v>
      </c>
      <c r="AG6" s="170"/>
    </row>
    <row r="7" spans="1:33">
      <c r="A7" s="202" t="s">
        <v>2060</v>
      </c>
      <c r="B7" s="35" t="s">
        <v>78</v>
      </c>
      <c r="C7" s="197" t="s">
        <v>82</v>
      </c>
      <c r="D7" s="198"/>
      <c r="E7" s="35">
        <v>50.67</v>
      </c>
      <c r="F7" s="4">
        <v>383</v>
      </c>
      <c r="G7" s="4">
        <f t="shared" si="0"/>
        <v>19406.61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1915.0000000000068</v>
      </c>
      <c r="N7" s="16">
        <f t="shared" si="3"/>
        <v>91.190476190476517</v>
      </c>
      <c r="O7" s="18">
        <f t="shared" si="4"/>
        <v>0</v>
      </c>
      <c r="P7" s="19">
        <f t="shared" si="5"/>
        <v>-4.0476190476187242</v>
      </c>
      <c r="Q7" s="20">
        <f t="shared" si="6"/>
        <v>0.95750000000000335</v>
      </c>
      <c r="R7" s="170"/>
      <c r="S7" s="27">
        <v>0.77916666666666667</v>
      </c>
      <c r="T7" s="27">
        <v>0.78749999999999998</v>
      </c>
      <c r="U7" s="4">
        <f t="shared" si="10"/>
        <v>6.9999999999999751</v>
      </c>
      <c r="V7" s="21">
        <f t="shared" si="7"/>
        <v>11.999999999999957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-84.999999999993179</v>
      </c>
      <c r="AF7" s="20">
        <f t="shared" si="9"/>
        <v>0.95750000000000346</v>
      </c>
      <c r="AG7" s="170"/>
    </row>
    <row r="8" spans="1:33">
      <c r="A8" s="202" t="s">
        <v>45</v>
      </c>
      <c r="B8" s="35" t="s">
        <v>78</v>
      </c>
      <c r="C8" s="197" t="s">
        <v>91</v>
      </c>
      <c r="D8" s="198"/>
      <c r="E8" s="35">
        <v>50.67</v>
      </c>
      <c r="F8" s="4">
        <v>1777</v>
      </c>
      <c r="G8" s="4">
        <f t="shared" si="0"/>
        <v>90040.59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1903.9285714285729</v>
      </c>
      <c r="N8" s="16">
        <f t="shared" si="3"/>
        <v>126.92857142857153</v>
      </c>
      <c r="O8" s="18">
        <f t="shared" si="4"/>
        <v>0</v>
      </c>
      <c r="P8" s="19">
        <f t="shared" si="5"/>
        <v>-6.4047619047618127</v>
      </c>
      <c r="Q8" s="20">
        <f t="shared" si="6"/>
        <v>0.95196428571428637</v>
      </c>
      <c r="R8" s="170"/>
      <c r="S8" s="27">
        <v>0.79097222222222219</v>
      </c>
      <c r="T8" s="27">
        <v>0.82986111111111105</v>
      </c>
      <c r="U8" s="4">
        <f t="shared" si="10"/>
        <v>4.9999999999999822</v>
      </c>
      <c r="V8" s="21">
        <f t="shared" si="7"/>
        <v>55.999999999999957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-96.071428571427077</v>
      </c>
      <c r="AF8" s="20">
        <f t="shared" si="9"/>
        <v>0.95196428571428648</v>
      </c>
      <c r="AG8" s="170"/>
    </row>
    <row r="9" spans="1:33">
      <c r="A9" s="202" t="s">
        <v>2059</v>
      </c>
      <c r="B9" s="35" t="s">
        <v>2061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1917.9104965156816</v>
      </c>
      <c r="N9" s="16">
        <f t="shared" si="3"/>
        <v>106.55058313976009</v>
      </c>
      <c r="O9" s="18">
        <f t="shared" si="4"/>
        <v>0</v>
      </c>
      <c r="P9" s="19">
        <f t="shared" si="5"/>
        <v>-4.5605279713510214</v>
      </c>
      <c r="Q9" s="20">
        <f t="shared" si="6"/>
        <v>0.95895524825784084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-82.089503484318357</v>
      </c>
      <c r="AF9" s="20">
        <f t="shared" si="9"/>
        <v>0.95895524825784084</v>
      </c>
      <c r="AG9" s="170"/>
    </row>
    <row r="10" spans="1:33" ht="15.75" customHeight="1">
      <c r="A10" s="196" t="s">
        <v>2062</v>
      </c>
      <c r="B10" s="35" t="s">
        <v>84</v>
      </c>
      <c r="C10" s="197" t="s">
        <v>85</v>
      </c>
      <c r="D10" s="198"/>
      <c r="E10" s="35">
        <v>39.619999999999997</v>
      </c>
      <c r="F10" s="4">
        <v>4670</v>
      </c>
      <c r="G10" s="4">
        <f t="shared" ref="G10:G12" si="11">E10*F10</f>
        <v>185025.4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1429.591836734694</v>
      </c>
      <c r="N10" s="16">
        <f t="shared" si="3"/>
        <v>75.241675617615471</v>
      </c>
      <c r="O10" s="18">
        <f t="shared" si="4"/>
        <v>0</v>
      </c>
      <c r="P10" s="19">
        <f t="shared" si="5"/>
        <v>-3.7056928034371595</v>
      </c>
      <c r="Q10" s="20">
        <f t="shared" si="6"/>
        <v>0.95306122448979602</v>
      </c>
      <c r="R10" s="170">
        <f>Q13</f>
        <v>0.95392063673808669</v>
      </c>
      <c r="S10" s="27">
        <v>0.20833333333333334</v>
      </c>
      <c r="T10" s="27">
        <v>0.34444444444444444</v>
      </c>
      <c r="U10" s="4"/>
      <c r="V10" s="21">
        <f t="shared" ref="V10:V12" si="13">(T10-S10)*24*60</f>
        <v>196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-70.40816326530603</v>
      </c>
      <c r="AF10" s="20">
        <f t="shared" si="9"/>
        <v>0.95306122448979602</v>
      </c>
      <c r="AG10" s="170">
        <f>AF13</f>
        <v>0.9539206367380868</v>
      </c>
    </row>
    <row r="11" spans="1:33" ht="15.75" customHeight="1">
      <c r="A11" s="196" t="s">
        <v>2063</v>
      </c>
      <c r="B11" s="35" t="s">
        <v>84</v>
      </c>
      <c r="C11" s="197" t="s">
        <v>86</v>
      </c>
      <c r="D11" s="198"/>
      <c r="E11" s="35">
        <v>39.799999999999997</v>
      </c>
      <c r="F11" s="4">
        <v>4700</v>
      </c>
      <c r="G11" s="4">
        <f t="shared" si="11"/>
        <v>187060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1431.4720812182745</v>
      </c>
      <c r="N11" s="16">
        <f t="shared" si="3"/>
        <v>84.204240071663207</v>
      </c>
      <c r="O11" s="18">
        <f t="shared" si="4"/>
        <v>0</v>
      </c>
      <c r="P11" s="19">
        <f t="shared" si="5"/>
        <v>-4.0310540459838506</v>
      </c>
      <c r="Q11" s="20">
        <f t="shared" si="6"/>
        <v>0.95431472081218305</v>
      </c>
      <c r="R11" s="170"/>
      <c r="S11" s="27">
        <v>0.35</v>
      </c>
      <c r="T11" s="27">
        <v>0.48680555555555549</v>
      </c>
      <c r="U11" s="4">
        <f t="shared" ref="U11:U12" si="14">IF(S11=TIME(17,0,0),"",(S11-T10)*24*60)</f>
        <v>7.9999999999999716</v>
      </c>
      <c r="V11" s="21">
        <f t="shared" si="13"/>
        <v>196.99999999999994</v>
      </c>
      <c r="W11" s="22">
        <f>T11</f>
        <v>0.48680555555555549</v>
      </c>
      <c r="X11" s="22">
        <f>S12</f>
        <v>0.5263888888888888</v>
      </c>
      <c r="Y11" s="22"/>
      <c r="Z11" s="22"/>
      <c r="AA11" s="162"/>
      <c r="AB11" s="162"/>
      <c r="AC11" s="24"/>
      <c r="AD11" s="24"/>
      <c r="AE11" s="18">
        <f t="shared" si="8"/>
        <v>-68.527918781725475</v>
      </c>
      <c r="AF11" s="20">
        <f t="shared" si="9"/>
        <v>0.95431472081218305</v>
      </c>
      <c r="AG11" s="170"/>
    </row>
    <row r="12" spans="1:33" ht="15.75" customHeight="1">
      <c r="A12" s="196" t="s">
        <v>2064</v>
      </c>
      <c r="B12" s="35" t="s">
        <v>84</v>
      </c>
      <c r="C12" s="197" t="s">
        <v>86</v>
      </c>
      <c r="D12" s="198"/>
      <c r="E12" s="35">
        <v>39.799999999999997</v>
      </c>
      <c r="F12" s="4">
        <v>2720</v>
      </c>
      <c r="G12" s="4">
        <f t="shared" si="11"/>
        <v>108255.99999999999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1431.5789473684222</v>
      </c>
      <c r="N12" s="16">
        <f t="shared" si="3"/>
        <v>84.210526315789537</v>
      </c>
      <c r="O12" s="18">
        <f t="shared" si="4"/>
        <v>0</v>
      </c>
      <c r="P12" s="19">
        <f t="shared" si="5"/>
        <v>-4.0247678018575215</v>
      </c>
      <c r="Q12" s="20">
        <f t="shared" si="6"/>
        <v>0.95438596491228145</v>
      </c>
      <c r="R12" s="170"/>
      <c r="S12" s="27">
        <v>0.5263888888888888</v>
      </c>
      <c r="T12" s="27">
        <v>0.6055555555555554</v>
      </c>
      <c r="U12" s="4">
        <f t="shared" si="14"/>
        <v>56.999999999999957</v>
      </c>
      <c r="V12" s="21">
        <f t="shared" si="13"/>
        <v>113.99999999999991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-68.421052631577822</v>
      </c>
      <c r="AF12" s="20">
        <f t="shared" si="9"/>
        <v>0.95438596491228145</v>
      </c>
      <c r="AG12" s="170"/>
    </row>
    <row r="13" spans="1:33" ht="16.5" customHeight="1">
      <c r="A13" s="196" t="s">
        <v>2062</v>
      </c>
      <c r="B13" s="35" t="s">
        <v>2061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1430.8809551071301</v>
      </c>
      <c r="N13" s="16">
        <f t="shared" si="3"/>
        <v>80.993261609837546</v>
      </c>
      <c r="O13" s="18">
        <f t="shared" si="4"/>
        <v>0</v>
      </c>
      <c r="P13" s="19">
        <f t="shared" si="5"/>
        <v>-3.9123987675209406</v>
      </c>
      <c r="Q13" s="20">
        <f t="shared" si="6"/>
        <v>0.95392063673808669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v>3</v>
      </c>
      <c r="AD13" s="30">
        <f>SUM(AD10:AD12)</f>
        <v>0</v>
      </c>
      <c r="AE13" s="18">
        <f t="shared" si="8"/>
        <v>-69.119044892869852</v>
      </c>
      <c r="AF13" s="20">
        <f t="shared" si="9"/>
        <v>0.9539206367380868</v>
      </c>
      <c r="AG13" s="170"/>
    </row>
    <row r="14" spans="1:33" ht="16.5" customHeight="1">
      <c r="A14" s="194" t="s">
        <v>50</v>
      </c>
      <c r="B14" s="4" t="s">
        <v>87</v>
      </c>
      <c r="C14" s="190" t="s">
        <v>88</v>
      </c>
      <c r="D14" s="190"/>
      <c r="E14" s="35">
        <v>41</v>
      </c>
      <c r="F14" s="4">
        <v>2396</v>
      </c>
      <c r="G14" s="4">
        <f t="shared" ref="G14:G17" si="15">E14*F14</f>
        <v>98236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1437.6000000000001</v>
      </c>
      <c r="N14" s="16">
        <f t="shared" si="3"/>
        <v>55.292307692307695</v>
      </c>
      <c r="O14" s="18">
        <f t="shared" si="4"/>
        <v>0</v>
      </c>
      <c r="P14" s="19">
        <f t="shared" si="5"/>
        <v>-2.3999999999999986</v>
      </c>
      <c r="Q14" s="20">
        <f t="shared" si="6"/>
        <v>0.95840000000000003</v>
      </c>
      <c r="R14" s="170">
        <f>Q18</f>
        <v>0.96254422764227732</v>
      </c>
      <c r="S14" s="27">
        <v>0.20833333333333334</v>
      </c>
      <c r="T14" s="27">
        <v>0.27777777777777779</v>
      </c>
      <c r="U14" s="4"/>
      <c r="V14" s="21">
        <f t="shared" ref="V14:V17" si="17">(T14-S14)*24*60</f>
        <v>100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-62.399999999999864</v>
      </c>
      <c r="AF14" s="20">
        <f t="shared" si="9"/>
        <v>0.95840000000000014</v>
      </c>
      <c r="AG14" s="170">
        <f>AF18</f>
        <v>0.96254422764227721</v>
      </c>
    </row>
    <row r="15" spans="1:33" ht="16.5" customHeight="1">
      <c r="A15" s="195" t="s">
        <v>2065</v>
      </c>
      <c r="B15" s="4" t="s">
        <v>78</v>
      </c>
      <c r="C15" s="190" t="s">
        <v>89</v>
      </c>
      <c r="D15" s="190"/>
      <c r="E15" s="35">
        <v>50.98</v>
      </c>
      <c r="F15" s="4">
        <v>2625</v>
      </c>
      <c r="G15" s="4">
        <f t="shared" si="15"/>
        <v>133822.5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1920.7317073170725</v>
      </c>
      <c r="N15" s="16">
        <f t="shared" si="3"/>
        <v>120.04573170731703</v>
      </c>
      <c r="O15" s="18">
        <f t="shared" si="4"/>
        <v>0</v>
      </c>
      <c r="P15" s="19">
        <f t="shared" si="5"/>
        <v>-4.9542682926829684</v>
      </c>
      <c r="Q15" s="20">
        <f t="shared" si="6"/>
        <v>0.96036585365853622</v>
      </c>
      <c r="R15" s="170"/>
      <c r="S15" s="27">
        <v>0.70833333333333337</v>
      </c>
      <c r="T15" s="27">
        <v>0.76527777777777783</v>
      </c>
      <c r="U15" s="4" t="str">
        <f t="shared" ref="U15:U17" si="18">IF(S15=TIME(17,0,0),"",(S15-T14)*24*60)</f>
        <v/>
      </c>
      <c r="V15" s="21">
        <f t="shared" si="17"/>
        <v>82.000000000000028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-79.268292682927495</v>
      </c>
      <c r="AF15" s="20">
        <f t="shared" si="9"/>
        <v>0.96036585365853622</v>
      </c>
      <c r="AG15" s="170"/>
    </row>
    <row r="16" spans="1:33" ht="16.5" customHeight="1">
      <c r="A16" s="195" t="s">
        <v>50</v>
      </c>
      <c r="B16" s="4" t="s">
        <v>78</v>
      </c>
      <c r="C16" s="190" t="s">
        <v>83</v>
      </c>
      <c r="D16" s="190"/>
      <c r="E16" s="35">
        <v>50.67</v>
      </c>
      <c r="F16" s="4">
        <v>679</v>
      </c>
      <c r="G16" s="4">
        <f t="shared" si="15"/>
        <v>34404.93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1940.000000000007</v>
      </c>
      <c r="N16" s="16">
        <f t="shared" si="3"/>
        <v>121.25000000000044</v>
      </c>
      <c r="O16" s="18">
        <f t="shared" si="4"/>
        <v>0</v>
      </c>
      <c r="P16" s="19">
        <f t="shared" si="5"/>
        <v>-3.7499999999995595</v>
      </c>
      <c r="Q16" s="20">
        <f t="shared" si="6"/>
        <v>0.97000000000000353</v>
      </c>
      <c r="R16" s="170"/>
      <c r="S16" s="27">
        <v>0.76875000000000004</v>
      </c>
      <c r="T16" s="27">
        <v>0.78333333333333333</v>
      </c>
      <c r="U16" s="4">
        <f t="shared" si="18"/>
        <v>4.9999999999999822</v>
      </c>
      <c r="V16" s="21">
        <f t="shared" si="17"/>
        <v>20.999999999999925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-59.999999999992951</v>
      </c>
      <c r="AF16" s="20">
        <f t="shared" si="9"/>
        <v>0.97000000000000353</v>
      </c>
      <c r="AG16" s="170"/>
    </row>
    <row r="17" spans="1:33" ht="16.5" customHeight="1">
      <c r="A17" s="195" t="s">
        <v>2065</v>
      </c>
      <c r="B17" s="4" t="s">
        <v>78</v>
      </c>
      <c r="C17" s="190" t="s">
        <v>90</v>
      </c>
      <c r="D17" s="190"/>
      <c r="E17" s="35">
        <v>50.92</v>
      </c>
      <c r="F17" s="4">
        <v>2561</v>
      </c>
      <c r="G17" s="4">
        <f t="shared" si="15"/>
        <v>130406.12000000001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1920.7499999999993</v>
      </c>
      <c r="N17" s="16">
        <f t="shared" si="3"/>
        <v>128.04999999999995</v>
      </c>
      <c r="O17" s="18">
        <f t="shared" si="4"/>
        <v>0</v>
      </c>
      <c r="P17" s="19">
        <f t="shared" si="5"/>
        <v>-5.2833333333333883</v>
      </c>
      <c r="Q17" s="20">
        <f t="shared" si="6"/>
        <v>0.96037499999999965</v>
      </c>
      <c r="R17" s="170"/>
      <c r="S17" s="27">
        <v>0.78680555555555554</v>
      </c>
      <c r="T17" s="27">
        <v>0.84236111111111112</v>
      </c>
      <c r="U17" s="4">
        <f t="shared" si="18"/>
        <v>4.9999999999999822</v>
      </c>
      <c r="V17" s="21">
        <f t="shared" si="17"/>
        <v>80.000000000000028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-79.250000000000682</v>
      </c>
      <c r="AF17" s="20">
        <f t="shared" si="9"/>
        <v>0.96037499999999965</v>
      </c>
      <c r="AG17" s="170"/>
    </row>
    <row r="18" spans="1:33" ht="16.5" customHeight="1">
      <c r="A18" s="195" t="s">
        <v>2066</v>
      </c>
      <c r="B18" s="35" t="s">
        <v>2061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1804.7704268292698</v>
      </c>
      <c r="N18" s="16">
        <f t="shared" si="3"/>
        <v>98.891530237220266</v>
      </c>
      <c r="O18" s="18">
        <f t="shared" si="4"/>
        <v>0</v>
      </c>
      <c r="P18" s="19">
        <f t="shared" si="5"/>
        <v>-3.8481957901769874</v>
      </c>
      <c r="Q18" s="20">
        <f t="shared" si="6"/>
        <v>0.96254422764227732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-70.229573170730191</v>
      </c>
      <c r="AF18" s="20">
        <f t="shared" si="9"/>
        <v>0.96254422764227721</v>
      </c>
      <c r="AG18" s="170"/>
    </row>
    <row r="19" spans="1:33" ht="15.75" customHeight="1">
      <c r="A19" s="192" t="s">
        <v>2067</v>
      </c>
      <c r="B19" s="35" t="s">
        <v>78</v>
      </c>
      <c r="C19" s="190" t="s">
        <v>92</v>
      </c>
      <c r="D19" s="190"/>
      <c r="E19" s="35">
        <v>57.73</v>
      </c>
      <c r="F19" s="4">
        <v>2743</v>
      </c>
      <c r="G19" s="4">
        <f t="shared" ref="G19:G23" si="19">E19*F19</f>
        <v>158353.38999999998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3" si="20">F19/V19*60</f>
        <v>1913.7209302325587</v>
      </c>
      <c r="N19" s="16">
        <f t="shared" si="3"/>
        <v>136.69435215946848</v>
      </c>
      <c r="O19" s="18">
        <f t="shared" si="4"/>
        <v>0</v>
      </c>
      <c r="P19" s="19">
        <f t="shared" si="5"/>
        <v>-6.1627906976743816</v>
      </c>
      <c r="Q19" s="20">
        <f t="shared" si="6"/>
        <v>0.95686046511627931</v>
      </c>
      <c r="R19" s="170">
        <f>Q24</f>
        <v>0.96016680487104678</v>
      </c>
      <c r="S19" s="27">
        <v>0.20833333333333334</v>
      </c>
      <c r="T19" s="27">
        <v>0.26805555555555555</v>
      </c>
      <c r="U19" s="4"/>
      <c r="V19" s="21">
        <f t="shared" ref="V19:V23" si="21">(T19-S19)*24*60</f>
        <v>85.999999999999972</v>
      </c>
      <c r="W19" s="27"/>
      <c r="X19" s="27"/>
      <c r="Y19" s="27"/>
      <c r="Z19" s="27"/>
      <c r="AA19" s="162"/>
      <c r="AB19" s="162"/>
      <c r="AC19" s="24">
        <v>5</v>
      </c>
      <c r="AD19" s="24"/>
      <c r="AE19" s="18">
        <f t="shared" si="8"/>
        <v>-86.279069767441342</v>
      </c>
      <c r="AF19" s="20">
        <f t="shared" si="9"/>
        <v>0.95686046511627931</v>
      </c>
      <c r="AG19" s="170">
        <f>AF24</f>
        <v>0.96016680487104678</v>
      </c>
    </row>
    <row r="20" spans="1:33" ht="15.75" customHeight="1">
      <c r="A20" s="193" t="s">
        <v>2067</v>
      </c>
      <c r="B20" s="35" t="s">
        <v>78</v>
      </c>
      <c r="C20" s="190" t="s">
        <v>93</v>
      </c>
      <c r="D20" s="190"/>
      <c r="E20" s="35">
        <v>53.68</v>
      </c>
      <c r="F20" s="4">
        <v>1616</v>
      </c>
      <c r="G20" s="4">
        <f t="shared" si="19"/>
        <v>86746.880000000005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1939.2000000000005</v>
      </c>
      <c r="N20" s="16">
        <f t="shared" si="3"/>
        <v>121.20000000000003</v>
      </c>
      <c r="O20" s="18">
        <f t="shared" si="4"/>
        <v>0</v>
      </c>
      <c r="P20" s="19">
        <f t="shared" si="5"/>
        <v>-3.7999999999999687</v>
      </c>
      <c r="Q20" s="20">
        <f t="shared" si="6"/>
        <v>0.96960000000000024</v>
      </c>
      <c r="R20" s="170"/>
      <c r="S20" s="27">
        <v>0.2722222222222222</v>
      </c>
      <c r="T20" s="27">
        <v>0.30694444444444441</v>
      </c>
      <c r="U20" s="4">
        <f t="shared" ref="U20:U23" si="22">IF(S20=TIME(17,0,0),"",(S20-T19)*24*60)</f>
        <v>5.9999999999999787</v>
      </c>
      <c r="V20" s="21">
        <f t="shared" si="21"/>
        <v>49.999999999999986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-60.7999999999995</v>
      </c>
      <c r="AF20" s="20">
        <f t="shared" si="9"/>
        <v>0.96960000000000024</v>
      </c>
      <c r="AG20" s="170"/>
    </row>
    <row r="21" spans="1:33" ht="15.75" customHeight="1">
      <c r="A21" s="193" t="s">
        <v>2067</v>
      </c>
      <c r="B21" s="35" t="s">
        <v>78</v>
      </c>
      <c r="C21" s="190" t="s">
        <v>94</v>
      </c>
      <c r="D21" s="190"/>
      <c r="E21" s="35">
        <v>50.49</v>
      </c>
      <c r="F21" s="4">
        <v>2167</v>
      </c>
      <c r="G21" s="4">
        <f t="shared" si="19"/>
        <v>109411.83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1912.058823529414</v>
      </c>
      <c r="N21" s="16">
        <f t="shared" si="3"/>
        <v>127.47058823529427</v>
      </c>
      <c r="O21" s="18">
        <f t="shared" si="4"/>
        <v>0</v>
      </c>
      <c r="P21" s="19">
        <f t="shared" si="5"/>
        <v>-5.8627450980390705</v>
      </c>
      <c r="Q21" s="20">
        <f t="shared" si="6"/>
        <v>0.95602941176470702</v>
      </c>
      <c r="R21" s="170"/>
      <c r="S21" s="27">
        <v>0.70833333333333337</v>
      </c>
      <c r="T21" s="27">
        <v>0.75555555555555554</v>
      </c>
      <c r="U21" s="4" t="str">
        <f t="shared" si="22"/>
        <v/>
      </c>
      <c r="V21" s="21">
        <f t="shared" si="21"/>
        <v>67.999999999999915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-87.941176470586015</v>
      </c>
      <c r="AF21" s="20">
        <f t="shared" si="9"/>
        <v>0.95602941176470702</v>
      </c>
      <c r="AG21" s="170"/>
    </row>
    <row r="22" spans="1:33" ht="15.75" customHeight="1">
      <c r="A22" s="193" t="s">
        <v>2067</v>
      </c>
      <c r="B22" s="35" t="s">
        <v>78</v>
      </c>
      <c r="C22" s="190" t="s">
        <v>96</v>
      </c>
      <c r="D22" s="190"/>
      <c r="E22" s="35">
        <v>57.3</v>
      </c>
      <c r="F22" s="4">
        <v>1828</v>
      </c>
      <c r="G22" s="4">
        <f t="shared" si="19"/>
        <v>104744.4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1924.210526315791</v>
      </c>
      <c r="N22" s="16">
        <f t="shared" si="3"/>
        <v>148.01619433198391</v>
      </c>
      <c r="O22" s="18">
        <f t="shared" si="4"/>
        <v>0</v>
      </c>
      <c r="P22" s="19">
        <f t="shared" si="5"/>
        <v>-5.8299595141699285</v>
      </c>
      <c r="Q22" s="20">
        <f t="shared" si="6"/>
        <v>0.96210526315789546</v>
      </c>
      <c r="R22" s="170"/>
      <c r="S22" s="27">
        <v>0.75902777777777775</v>
      </c>
      <c r="T22" s="27">
        <v>0.79861111111111105</v>
      </c>
      <c r="U22" s="4">
        <f t="shared" si="22"/>
        <v>4.9999999999999822</v>
      </c>
      <c r="V22" s="21">
        <f t="shared" si="21"/>
        <v>56.999999999999957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-75.789473684209042</v>
      </c>
      <c r="AF22" s="20">
        <f t="shared" si="9"/>
        <v>0.96210526315789546</v>
      </c>
      <c r="AG22" s="170"/>
    </row>
    <row r="23" spans="1:33" ht="15.75" customHeight="1">
      <c r="A23" s="193" t="s">
        <v>2067</v>
      </c>
      <c r="B23" s="35" t="s">
        <v>78</v>
      </c>
      <c r="C23" s="190" t="s">
        <v>95</v>
      </c>
      <c r="D23" s="190"/>
      <c r="E23" s="35">
        <v>53.68</v>
      </c>
      <c r="F23" s="4">
        <v>1695</v>
      </c>
      <c r="G23" s="4">
        <f t="shared" si="19"/>
        <v>90987.6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1432.3943661971816</v>
      </c>
      <c r="N23" s="16">
        <f t="shared" si="3"/>
        <v>89.524647887323852</v>
      </c>
      <c r="O23" s="18">
        <f t="shared" si="4"/>
        <v>0</v>
      </c>
      <c r="P23" s="19">
        <f t="shared" si="5"/>
        <v>-4.2253521126761484</v>
      </c>
      <c r="Q23" s="20">
        <f t="shared" si="6"/>
        <v>0.95492957746478779</v>
      </c>
      <c r="R23" s="170"/>
      <c r="S23" s="27">
        <v>0.80208333333333326</v>
      </c>
      <c r="T23" s="27">
        <v>0.85138888888888886</v>
      </c>
      <c r="U23" s="4">
        <f t="shared" si="22"/>
        <v>4.9999999999999822</v>
      </c>
      <c r="V23" s="21">
        <f t="shared" si="21"/>
        <v>71.000000000000071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-67.605633802818375</v>
      </c>
      <c r="AF23" s="20">
        <f t="shared" si="9"/>
        <v>0.95492957746478779</v>
      </c>
      <c r="AG23" s="170"/>
    </row>
    <row r="24" spans="1:33" ht="15.75" customHeight="1">
      <c r="A24" s="193" t="s">
        <v>2067</v>
      </c>
      <c r="B24" s="35" t="s">
        <v>2061</v>
      </c>
      <c r="C24" s="171"/>
      <c r="D24" s="171"/>
      <c r="E24" s="36"/>
      <c r="F24" s="4"/>
      <c r="G24" s="4"/>
      <c r="H24" s="4"/>
      <c r="I24" s="29">
        <v>14.8</v>
      </c>
      <c r="J24" s="17">
        <v>1900</v>
      </c>
      <c r="K24" s="16">
        <f t="shared" si="1"/>
        <v>128.37837837837839</v>
      </c>
      <c r="L24" s="29">
        <v>14.8</v>
      </c>
      <c r="M24" s="17">
        <f>AVERAGE(M19:M23)</f>
        <v>1824.316929254989</v>
      </c>
      <c r="N24" s="16">
        <f t="shared" si="3"/>
        <v>123.26465738209384</v>
      </c>
      <c r="O24" s="18">
        <f t="shared" si="4"/>
        <v>0</v>
      </c>
      <c r="P24" s="19">
        <f t="shared" si="5"/>
        <v>-5.1137209962845418</v>
      </c>
      <c r="Q24" s="20">
        <f t="shared" si="6"/>
        <v>0.96016680487104678</v>
      </c>
      <c r="R24" s="170"/>
      <c r="S24" s="27"/>
      <c r="T24" s="27"/>
      <c r="U24" s="16"/>
      <c r="V24" s="21"/>
      <c r="W24" s="16"/>
      <c r="X24" s="16"/>
      <c r="Y24" s="30">
        <f>SUM(Y19:Y23)</f>
        <v>0</v>
      </c>
      <c r="Z24" s="30">
        <f>SUM(Z19:Z23)</f>
        <v>0</v>
      </c>
      <c r="AA24" s="166"/>
      <c r="AB24" s="166"/>
      <c r="AC24" s="30">
        <v>5</v>
      </c>
      <c r="AD24" s="30">
        <f>SUM(AD19:AD23)</f>
        <v>0</v>
      </c>
      <c r="AE24" s="18">
        <f t="shared" si="8"/>
        <v>-75.683070745011037</v>
      </c>
      <c r="AF24" s="20">
        <f t="shared" si="9"/>
        <v>0.96016680487104678</v>
      </c>
      <c r="AG24" s="170"/>
    </row>
    <row r="25" spans="1:33" ht="15.75" customHeight="1">
      <c r="A25" s="191" t="s">
        <v>54</v>
      </c>
      <c r="B25" s="35" t="s">
        <v>97</v>
      </c>
      <c r="C25" s="190" t="s">
        <v>98</v>
      </c>
      <c r="D25" s="190"/>
      <c r="E25" s="35">
        <v>31.29</v>
      </c>
      <c r="F25" s="4">
        <v>6500</v>
      </c>
      <c r="G25" s="4">
        <f t="shared" ref="G25:G30" si="23">E25*F25</f>
        <v>203385</v>
      </c>
      <c r="H25" s="21">
        <v>2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30" si="24">F25/V25*60</f>
        <v>2294.1176470588234</v>
      </c>
      <c r="N25" s="16">
        <f t="shared" si="3"/>
        <v>127.45098039215685</v>
      </c>
      <c r="O25" s="18">
        <f t="shared" si="4"/>
        <v>0</v>
      </c>
      <c r="P25" s="19">
        <f t="shared" si="5"/>
        <v>-5.8823529411764923</v>
      </c>
      <c r="Q25" s="20">
        <f t="shared" si="6"/>
        <v>0.95588235294117629</v>
      </c>
      <c r="R25" s="170">
        <f>Q31</f>
        <v>0.95721121281778654</v>
      </c>
      <c r="S25" s="27">
        <v>8.3333333333333329E-2</v>
      </c>
      <c r="T25" s="27">
        <v>0.2013888888888889</v>
      </c>
      <c r="U25" s="4"/>
      <c r="V25" s="21">
        <f t="shared" ref="V25:V30" si="25">(T25-S25)*24*60</f>
        <v>170</v>
      </c>
      <c r="W25" s="22">
        <f>T25</f>
        <v>0.2013888888888889</v>
      </c>
      <c r="X25" s="22">
        <f>S26</f>
        <v>0.22083333333333335</v>
      </c>
      <c r="Y25" s="22"/>
      <c r="Z25" s="22"/>
      <c r="AA25" s="162"/>
      <c r="AB25" s="162"/>
      <c r="AC25" s="24">
        <v>6</v>
      </c>
      <c r="AD25" s="24"/>
      <c r="AE25" s="18">
        <f t="shared" si="8"/>
        <v>-105.88235294117658</v>
      </c>
      <c r="AF25" s="20">
        <f t="shared" si="9"/>
        <v>0.95588235294117641</v>
      </c>
      <c r="AG25" s="170">
        <f>AF31</f>
        <v>0.95721121281778643</v>
      </c>
    </row>
    <row r="26" spans="1:33" ht="15.75" customHeight="1">
      <c r="A26" s="191" t="s">
        <v>54</v>
      </c>
      <c r="B26" s="35" t="s">
        <v>97</v>
      </c>
      <c r="C26" s="190" t="s">
        <v>99</v>
      </c>
      <c r="D26" s="190"/>
      <c r="E26" s="35">
        <v>25.98</v>
      </c>
      <c r="F26" s="4">
        <v>3285</v>
      </c>
      <c r="G26" s="4">
        <f t="shared" si="23"/>
        <v>85344.3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2291.8604651162796</v>
      </c>
      <c r="N26" s="16">
        <f t="shared" si="3"/>
        <v>109.13621262458474</v>
      </c>
      <c r="O26" s="18">
        <f t="shared" si="4"/>
        <v>0</v>
      </c>
      <c r="P26" s="19">
        <f t="shared" si="5"/>
        <v>-5.1495016611295483</v>
      </c>
      <c r="Q26" s="20">
        <f t="shared" si="6"/>
        <v>0.95494186046511642</v>
      </c>
      <c r="R26" s="170"/>
      <c r="S26" s="27">
        <v>0.22083333333333335</v>
      </c>
      <c r="T26" s="27">
        <v>0.28055555555555556</v>
      </c>
      <c r="U26" s="4">
        <f t="shared" ref="U26:U30" si="26">(S26-T25)*24*60</f>
        <v>28.000000000000021</v>
      </c>
      <c r="V26" s="21">
        <f t="shared" si="25"/>
        <v>85.999999999999972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-108.13953488372044</v>
      </c>
      <c r="AF26" s="20">
        <f t="shared" si="9"/>
        <v>0.95494186046511653</v>
      </c>
      <c r="AG26" s="170"/>
    </row>
    <row r="27" spans="1:33" ht="15.75" customHeight="1">
      <c r="A27" s="191" t="s">
        <v>2068</v>
      </c>
      <c r="B27" s="35" t="s">
        <v>97</v>
      </c>
      <c r="C27" s="190" t="s">
        <v>100</v>
      </c>
      <c r="D27" s="190"/>
      <c r="E27" s="35">
        <v>26.2</v>
      </c>
      <c r="F27" s="4">
        <v>5579</v>
      </c>
      <c r="G27" s="4">
        <f t="shared" si="23"/>
        <v>146169.79999999999</v>
      </c>
      <c r="H27" s="21" t="s">
        <v>133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2292.7397260273979</v>
      </c>
      <c r="N27" s="16">
        <f t="shared" si="3"/>
        <v>114.63698630136989</v>
      </c>
      <c r="O27" s="18">
        <f t="shared" si="4"/>
        <v>0</v>
      </c>
      <c r="P27" s="19">
        <f t="shared" si="5"/>
        <v>-5.3630136986301125</v>
      </c>
      <c r="Q27" s="20">
        <f t="shared" si="6"/>
        <v>0.9553082191780824</v>
      </c>
      <c r="R27" s="170"/>
      <c r="S27" s="27">
        <v>0.28541666666666665</v>
      </c>
      <c r="T27" s="27">
        <v>0.38680555555555551</v>
      </c>
      <c r="U27" s="4">
        <f t="shared" si="26"/>
        <v>6.9999999999999751</v>
      </c>
      <c r="V27" s="21">
        <f t="shared" si="25"/>
        <v>145.99999999999997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-107.26027397260214</v>
      </c>
      <c r="AF27" s="20">
        <f t="shared" si="9"/>
        <v>0.9553082191780824</v>
      </c>
      <c r="AG27" s="170"/>
    </row>
    <row r="28" spans="1:33" ht="15.75" customHeight="1">
      <c r="A28" s="191" t="s">
        <v>2068</v>
      </c>
      <c r="B28" s="35" t="s">
        <v>97</v>
      </c>
      <c r="C28" s="190" t="s">
        <v>101</v>
      </c>
      <c r="D28" s="190"/>
      <c r="E28" s="35">
        <v>25.99</v>
      </c>
      <c r="F28" s="4">
        <v>4408</v>
      </c>
      <c r="G28" s="4">
        <f t="shared" si="23"/>
        <v>114563.92</v>
      </c>
      <c r="H28" s="21" t="s">
        <v>133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2280.0000000000005</v>
      </c>
      <c r="N28" s="16">
        <f t="shared" si="3"/>
        <v>162.85714285714289</v>
      </c>
      <c r="O28" s="18">
        <f t="shared" si="4"/>
        <v>0</v>
      </c>
      <c r="P28" s="19">
        <f t="shared" si="5"/>
        <v>-8.5714285714285268</v>
      </c>
      <c r="Q28" s="20">
        <f t="shared" si="6"/>
        <v>0.95000000000000029</v>
      </c>
      <c r="R28" s="170"/>
      <c r="S28" s="27">
        <v>0.39027777777777772</v>
      </c>
      <c r="T28" s="27">
        <v>0.47083333333333327</v>
      </c>
      <c r="U28" s="4">
        <f t="shared" si="26"/>
        <v>4.9999999999999822</v>
      </c>
      <c r="V28" s="21">
        <f t="shared" si="25"/>
        <v>115.99999999999999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-119.99999999999955</v>
      </c>
      <c r="AF28" s="20">
        <f t="shared" si="9"/>
        <v>0.95000000000000018</v>
      </c>
      <c r="AG28" s="170"/>
    </row>
    <row r="29" spans="1:33" ht="15.75" customHeight="1">
      <c r="A29" s="191" t="s">
        <v>2068</v>
      </c>
      <c r="B29" s="35" t="s">
        <v>97</v>
      </c>
      <c r="C29" s="190" t="s">
        <v>102</v>
      </c>
      <c r="D29" s="190"/>
      <c r="E29" s="35">
        <v>26.18</v>
      </c>
      <c r="F29" s="4">
        <v>1855</v>
      </c>
      <c r="G29" s="4">
        <f t="shared" si="23"/>
        <v>48563.9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2318.7499999999968</v>
      </c>
      <c r="N29" s="16">
        <f t="shared" si="3"/>
        <v>122.03947368421036</v>
      </c>
      <c r="O29" s="18">
        <f t="shared" si="4"/>
        <v>0</v>
      </c>
      <c r="P29" s="19">
        <f t="shared" si="5"/>
        <v>-4.2763157894738413</v>
      </c>
      <c r="Q29" s="20">
        <f t="shared" si="6"/>
        <v>0.96614583333333204</v>
      </c>
      <c r="R29" s="170"/>
      <c r="S29" s="27">
        <v>0.47569444444444436</v>
      </c>
      <c r="T29" s="27">
        <v>0.50902777777777775</v>
      </c>
      <c r="U29" s="4">
        <f t="shared" si="26"/>
        <v>6.9999999999999751</v>
      </c>
      <c r="V29" s="21">
        <f t="shared" si="25"/>
        <v>48.000000000000071</v>
      </c>
      <c r="W29" s="22">
        <f>T29</f>
        <v>0.50902777777777775</v>
      </c>
      <c r="X29" s="22">
        <f>S30</f>
        <v>0.54930555555555549</v>
      </c>
      <c r="Y29" s="22"/>
      <c r="Z29" s="22"/>
      <c r="AA29" s="162"/>
      <c r="AB29" s="162"/>
      <c r="AC29" s="24"/>
      <c r="AD29" s="24"/>
      <c r="AE29" s="18">
        <f t="shared" si="8"/>
        <v>-81.250000000003183</v>
      </c>
      <c r="AF29" s="20">
        <f t="shared" si="9"/>
        <v>0.96614583333333204</v>
      </c>
      <c r="AG29" s="170"/>
    </row>
    <row r="30" spans="1:33" ht="15.75" customHeight="1">
      <c r="A30" s="191" t="s">
        <v>2068</v>
      </c>
      <c r="B30" s="35" t="s">
        <v>97</v>
      </c>
      <c r="C30" s="190" t="s">
        <v>98</v>
      </c>
      <c r="D30" s="190"/>
      <c r="E30" s="35">
        <v>31.29</v>
      </c>
      <c r="F30" s="4">
        <v>3498</v>
      </c>
      <c r="G30" s="4">
        <f t="shared" si="23"/>
        <v>109452.42</v>
      </c>
      <c r="H30" s="21" t="s">
        <v>133</v>
      </c>
      <c r="I30" s="15">
        <v>18</v>
      </c>
      <c r="J30" s="17">
        <v>2400</v>
      </c>
      <c r="K30" s="16">
        <f t="shared" si="1"/>
        <v>133.33333333333334</v>
      </c>
      <c r="L30" s="15">
        <v>18</v>
      </c>
      <c r="M30" s="17">
        <f t="shared" si="24"/>
        <v>2306.3736263736264</v>
      </c>
      <c r="N30" s="16">
        <f t="shared" si="3"/>
        <v>128.13186813186815</v>
      </c>
      <c r="O30" s="18">
        <f t="shared" si="4"/>
        <v>0</v>
      </c>
      <c r="P30" s="19">
        <f t="shared" si="5"/>
        <v>-5.2014652014651972</v>
      </c>
      <c r="Q30" s="20">
        <f t="shared" si="6"/>
        <v>0.96098901098901102</v>
      </c>
      <c r="R30" s="170"/>
      <c r="S30" s="27">
        <v>0.54930555555555549</v>
      </c>
      <c r="T30" s="27">
        <v>0.61249999999999993</v>
      </c>
      <c r="U30" s="4">
        <f t="shared" si="26"/>
        <v>57.999999999999957</v>
      </c>
      <c r="V30" s="21">
        <f t="shared" si="25"/>
        <v>91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-93.626373626373606</v>
      </c>
      <c r="AF30" s="20">
        <f t="shared" si="9"/>
        <v>0.96098901098901102</v>
      </c>
      <c r="AG30" s="170"/>
    </row>
    <row r="31" spans="1:33" ht="15.75" customHeight="1">
      <c r="A31" s="191" t="s">
        <v>2068</v>
      </c>
      <c r="B31" s="35" t="s">
        <v>2061</v>
      </c>
      <c r="C31" s="171"/>
      <c r="D31" s="171"/>
      <c r="E31" s="36"/>
      <c r="F31" s="4"/>
      <c r="G31" s="4"/>
      <c r="H31" s="4"/>
      <c r="I31" s="29">
        <v>18.333333333333332</v>
      </c>
      <c r="J31" s="17">
        <v>2400</v>
      </c>
      <c r="K31" s="16">
        <f t="shared" si="1"/>
        <v>130.90909090909091</v>
      </c>
      <c r="L31" s="29">
        <v>18.333333333333332</v>
      </c>
      <c r="M31" s="17">
        <f>AVERAGE(M25:M30)</f>
        <v>2297.3069107626875</v>
      </c>
      <c r="N31" s="16">
        <f t="shared" si="3"/>
        <v>125.30764967796478</v>
      </c>
      <c r="O31" s="18">
        <f t="shared" si="4"/>
        <v>0</v>
      </c>
      <c r="P31" s="19">
        <f t="shared" si="5"/>
        <v>-5.601441231126131</v>
      </c>
      <c r="Q31" s="20">
        <f t="shared" si="6"/>
        <v>0.95721121281778654</v>
      </c>
      <c r="R31" s="170"/>
      <c r="S31" s="27"/>
      <c r="T31" s="27"/>
      <c r="U31" s="4"/>
      <c r="V31" s="21"/>
      <c r="W31" s="4"/>
      <c r="X31" s="4"/>
      <c r="Y31" s="30">
        <f>SUM(Y25:Y30)</f>
        <v>0</v>
      </c>
      <c r="Z31" s="30">
        <f>SUM(Z25:Z30)</f>
        <v>0</v>
      </c>
      <c r="AA31" s="166"/>
      <c r="AB31" s="166"/>
      <c r="AC31" s="30">
        <v>6</v>
      </c>
      <c r="AD31" s="30">
        <f>SUM(AD25:AD30)</f>
        <v>0</v>
      </c>
      <c r="AE31" s="18">
        <f t="shared" si="8"/>
        <v>-102.69308923731251</v>
      </c>
      <c r="AF31" s="20">
        <f t="shared" si="9"/>
        <v>0.95721121281778643</v>
      </c>
      <c r="AG31" s="170"/>
    </row>
    <row r="32" spans="1:33" ht="15.75" customHeight="1">
      <c r="A32" s="188" t="s">
        <v>2069</v>
      </c>
      <c r="B32" s="35" t="s">
        <v>97</v>
      </c>
      <c r="C32" s="163" t="s">
        <v>103</v>
      </c>
      <c r="D32" s="163"/>
      <c r="E32" s="35">
        <v>26.2</v>
      </c>
      <c r="F32" s="4">
        <v>4600</v>
      </c>
      <c r="G32" s="4">
        <f t="shared" ref="G32:G39" si="27">E32*F32</f>
        <v>120520</v>
      </c>
      <c r="H32" s="21">
        <v>2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ref="M32:M39" si="28">F32/V32*60</f>
        <v>2300</v>
      </c>
      <c r="N32" s="16">
        <f t="shared" si="3"/>
        <v>127.77777777777777</v>
      </c>
      <c r="O32" s="18">
        <f t="shared" si="4"/>
        <v>0</v>
      </c>
      <c r="P32" s="19">
        <f t="shared" si="5"/>
        <v>-5.5555555555555713</v>
      </c>
      <c r="Q32" s="20">
        <f t="shared" si="6"/>
        <v>0.95833333333333326</v>
      </c>
      <c r="R32" s="170">
        <f>Q40</f>
        <v>0.95903926404370343</v>
      </c>
      <c r="S32" s="27">
        <v>8.3333333333333329E-2</v>
      </c>
      <c r="T32" s="27">
        <v>0.16666666666666666</v>
      </c>
      <c r="U32" s="4"/>
      <c r="V32" s="21">
        <f t="shared" ref="V32:V39" si="29">(T32-S32)*24*60</f>
        <v>120</v>
      </c>
      <c r="W32" s="27">
        <f>T32</f>
        <v>0.16666666666666666</v>
      </c>
      <c r="X32" s="27">
        <f>S33</f>
        <v>0.18680555555555556</v>
      </c>
      <c r="Y32" s="27"/>
      <c r="Z32" s="27"/>
      <c r="AA32" s="162"/>
      <c r="AB32" s="162"/>
      <c r="AC32" s="24">
        <v>8</v>
      </c>
      <c r="AD32" s="24"/>
      <c r="AE32" s="18">
        <f t="shared" si="8"/>
        <v>-100</v>
      </c>
      <c r="AF32" s="20">
        <f t="shared" si="9"/>
        <v>0.95833333333333337</v>
      </c>
      <c r="AG32" s="170">
        <f>AF40</f>
        <v>0.95903926404370343</v>
      </c>
    </row>
    <row r="33" spans="1:33" ht="15.75" customHeight="1">
      <c r="A33" s="188" t="s">
        <v>59</v>
      </c>
      <c r="B33" s="35" t="s">
        <v>97</v>
      </c>
      <c r="C33" s="163" t="s">
        <v>104</v>
      </c>
      <c r="D33" s="163"/>
      <c r="E33" s="35">
        <v>20.52</v>
      </c>
      <c r="F33" s="4">
        <v>4141</v>
      </c>
      <c r="G33" s="4">
        <f t="shared" si="27"/>
        <v>84973.319999999992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si="28"/>
        <v>2300.5555555555552</v>
      </c>
      <c r="N33" s="16">
        <f t="shared" si="3"/>
        <v>127.80864197530862</v>
      </c>
      <c r="O33" s="18">
        <f t="shared" si="4"/>
        <v>0</v>
      </c>
      <c r="P33" s="19">
        <f t="shared" si="5"/>
        <v>-5.5246913580247252</v>
      </c>
      <c r="Q33" s="20">
        <f t="shared" si="6"/>
        <v>0.95856481481481459</v>
      </c>
      <c r="R33" s="170"/>
      <c r="S33" s="27">
        <v>0.18680555555555556</v>
      </c>
      <c r="T33" s="27">
        <v>0.26180555555555557</v>
      </c>
      <c r="U33" s="4">
        <f t="shared" ref="U33:U39" si="30">(S33-T32)*24*60</f>
        <v>29.000000000000018</v>
      </c>
      <c r="V33" s="21">
        <f t="shared" si="29"/>
        <v>108.00000000000001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-99.444444444444798</v>
      </c>
      <c r="AF33" s="20">
        <f t="shared" si="9"/>
        <v>0.9585648148148147</v>
      </c>
      <c r="AG33" s="170"/>
    </row>
    <row r="34" spans="1:33">
      <c r="A34" s="189" t="s">
        <v>59</v>
      </c>
      <c r="B34" s="35" t="s">
        <v>97</v>
      </c>
      <c r="C34" s="163" t="s">
        <v>105</v>
      </c>
      <c r="D34" s="163"/>
      <c r="E34" s="35">
        <v>26.39</v>
      </c>
      <c r="F34" s="4">
        <v>4100</v>
      </c>
      <c r="G34" s="4">
        <f t="shared" si="27"/>
        <v>108199</v>
      </c>
      <c r="H34" s="21">
        <v>2</v>
      </c>
      <c r="I34" s="15">
        <v>19</v>
      </c>
      <c r="J34" s="17">
        <v>2400</v>
      </c>
      <c r="K34" s="16">
        <f t="shared" si="1"/>
        <v>126.31578947368421</v>
      </c>
      <c r="L34" s="15">
        <v>19</v>
      </c>
      <c r="M34" s="17">
        <f t="shared" si="28"/>
        <v>2299.0654205607475</v>
      </c>
      <c r="N34" s="16">
        <f t="shared" si="3"/>
        <v>121.00344318740777</v>
      </c>
      <c r="O34" s="18">
        <f t="shared" si="4"/>
        <v>0</v>
      </c>
      <c r="P34" s="19">
        <f t="shared" si="5"/>
        <v>-5.312346286276437</v>
      </c>
      <c r="Q34" s="20">
        <f t="shared" si="6"/>
        <v>0.95794392523364491</v>
      </c>
      <c r="R34" s="170"/>
      <c r="S34" s="27">
        <v>0.26597222222222222</v>
      </c>
      <c r="T34" s="27">
        <v>0.34027777777777779</v>
      </c>
      <c r="U34" s="4">
        <f t="shared" si="30"/>
        <v>5.9999999999999787</v>
      </c>
      <c r="V34" s="21">
        <f t="shared" si="29"/>
        <v>107.00000000000001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-100.9345794392525</v>
      </c>
      <c r="AF34" s="20">
        <f t="shared" si="9"/>
        <v>0.9579439252336448</v>
      </c>
      <c r="AG34" s="170"/>
    </row>
    <row r="35" spans="1:33">
      <c r="A35" s="189" t="s">
        <v>59</v>
      </c>
      <c r="B35" s="35" t="s">
        <v>97</v>
      </c>
      <c r="C35" s="163" t="s">
        <v>107</v>
      </c>
      <c r="D35" s="163"/>
      <c r="E35" s="35">
        <v>20.52</v>
      </c>
      <c r="F35" s="4">
        <v>3015</v>
      </c>
      <c r="G35" s="4">
        <f t="shared" si="27"/>
        <v>61867.799999999996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8"/>
        <v>2289.8734177215179</v>
      </c>
      <c r="N35" s="16">
        <f t="shared" si="3"/>
        <v>127.21518987341766</v>
      </c>
      <c r="O35" s="18">
        <f t="shared" si="4"/>
        <v>0</v>
      </c>
      <c r="P35" s="19">
        <f t="shared" si="5"/>
        <v>-6.1181434599156859</v>
      </c>
      <c r="Q35" s="20">
        <f t="shared" si="6"/>
        <v>0.95411392405063233</v>
      </c>
      <c r="R35" s="170"/>
      <c r="S35" s="27">
        <v>0.34583333333333333</v>
      </c>
      <c r="T35" s="27">
        <v>0.40069444444444446</v>
      </c>
      <c r="U35" s="4">
        <f t="shared" si="30"/>
        <v>7.9999999999999716</v>
      </c>
      <c r="V35" s="21">
        <f t="shared" si="29"/>
        <v>79.000000000000043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-110.12658227848215</v>
      </c>
      <c r="AF35" s="20">
        <f t="shared" si="9"/>
        <v>0.95411392405063244</v>
      </c>
      <c r="AG35" s="170"/>
    </row>
    <row r="36" spans="1:33">
      <c r="A36" s="189" t="s">
        <v>59</v>
      </c>
      <c r="B36" s="35" t="s">
        <v>97</v>
      </c>
      <c r="C36" s="163" t="s">
        <v>304</v>
      </c>
      <c r="D36" s="163"/>
      <c r="E36" s="35">
        <v>22.69</v>
      </c>
      <c r="F36" s="4">
        <v>4100</v>
      </c>
      <c r="G36" s="4">
        <f t="shared" si="27"/>
        <v>93029</v>
      </c>
      <c r="H36" s="21">
        <v>2</v>
      </c>
      <c r="I36" s="15">
        <v>15</v>
      </c>
      <c r="J36" s="17">
        <v>2400</v>
      </c>
      <c r="K36" s="16">
        <f t="shared" si="1"/>
        <v>160</v>
      </c>
      <c r="L36" s="15">
        <v>15</v>
      </c>
      <c r="M36" s="17">
        <f t="shared" si="28"/>
        <v>2299.0654205607475</v>
      </c>
      <c r="N36" s="16">
        <f t="shared" si="3"/>
        <v>153.27102803738316</v>
      </c>
      <c r="O36" s="18">
        <f t="shared" si="4"/>
        <v>0</v>
      </c>
      <c r="P36" s="19">
        <f t="shared" si="5"/>
        <v>-6.7289719626168392</v>
      </c>
      <c r="Q36" s="20">
        <f t="shared" si="6"/>
        <v>0.9579439252336448</v>
      </c>
      <c r="R36" s="170"/>
      <c r="S36" s="27">
        <v>0.40625</v>
      </c>
      <c r="T36" s="27">
        <v>0.48055555555555557</v>
      </c>
      <c r="U36" s="4">
        <f t="shared" si="30"/>
        <v>7.9999999999999716</v>
      </c>
      <c r="V36" s="21">
        <f t="shared" si="29"/>
        <v>107.00000000000001</v>
      </c>
      <c r="W36" s="22">
        <f>T36</f>
        <v>0.48055555555555557</v>
      </c>
      <c r="X36" s="22">
        <f>S37</f>
        <v>0.51944444444444438</v>
      </c>
      <c r="Y36" s="22"/>
      <c r="Z36" s="22"/>
      <c r="AA36" s="162"/>
      <c r="AB36" s="162"/>
      <c r="AC36" s="24"/>
      <c r="AD36" s="24"/>
      <c r="AE36" s="18">
        <f t="shared" si="8"/>
        <v>-100.9345794392525</v>
      </c>
      <c r="AF36" s="20">
        <f t="shared" si="9"/>
        <v>0.9579439252336448</v>
      </c>
      <c r="AG36" s="170"/>
    </row>
    <row r="37" spans="1:33">
      <c r="A37" s="189" t="s">
        <v>59</v>
      </c>
      <c r="B37" s="35" t="s">
        <v>97</v>
      </c>
      <c r="C37" s="163" t="s">
        <v>304</v>
      </c>
      <c r="D37" s="163"/>
      <c r="E37" s="35">
        <v>22.69</v>
      </c>
      <c r="F37" s="4">
        <v>2159</v>
      </c>
      <c r="G37" s="4">
        <f t="shared" si="27"/>
        <v>48987.71</v>
      </c>
      <c r="H37" s="21" t="s">
        <v>133</v>
      </c>
      <c r="I37" s="15">
        <v>15</v>
      </c>
      <c r="J37" s="17">
        <v>2400</v>
      </c>
      <c r="K37" s="16">
        <f t="shared" si="1"/>
        <v>160</v>
      </c>
      <c r="L37" s="15">
        <v>15</v>
      </c>
      <c r="M37" s="17">
        <f t="shared" si="28"/>
        <v>2313.2142857142876</v>
      </c>
      <c r="N37" s="16">
        <f t="shared" si="3"/>
        <v>154.21428571428584</v>
      </c>
      <c r="O37" s="18">
        <f t="shared" si="4"/>
        <v>0</v>
      </c>
      <c r="P37" s="19">
        <f t="shared" si="5"/>
        <v>-5.7857142857141639</v>
      </c>
      <c r="Q37" s="20">
        <f t="shared" si="6"/>
        <v>0.96383928571428645</v>
      </c>
      <c r="R37" s="170"/>
      <c r="S37" s="27">
        <v>0.51944444444444438</v>
      </c>
      <c r="T37" s="27">
        <v>0.55833333333333324</v>
      </c>
      <c r="U37" s="4">
        <f t="shared" si="30"/>
        <v>55.999999999999879</v>
      </c>
      <c r="V37" s="21">
        <f t="shared" si="29"/>
        <v>55.999999999999957</v>
      </c>
      <c r="W37" s="22"/>
      <c r="X37" s="22"/>
      <c r="Y37" s="22"/>
      <c r="Z37" s="22"/>
      <c r="AA37" s="162"/>
      <c r="AB37" s="162"/>
      <c r="AC37" s="24"/>
      <c r="AD37" s="24"/>
      <c r="AE37" s="18">
        <f t="shared" si="8"/>
        <v>-86.785714285712402</v>
      </c>
      <c r="AF37" s="20">
        <f t="shared" si="9"/>
        <v>0.96383928571428645</v>
      </c>
      <c r="AG37" s="170"/>
    </row>
    <row r="38" spans="1:33">
      <c r="A38" s="189" t="s">
        <v>59</v>
      </c>
      <c r="B38" s="35" t="s">
        <v>97</v>
      </c>
      <c r="C38" s="163" t="s">
        <v>103</v>
      </c>
      <c r="D38" s="163"/>
      <c r="E38" s="35">
        <v>26.2</v>
      </c>
      <c r="F38" s="4">
        <v>2727</v>
      </c>
      <c r="G38" s="4">
        <f t="shared" si="27"/>
        <v>71447.399999999994</v>
      </c>
      <c r="H38" s="21" t="s">
        <v>133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2304.5070422535191</v>
      </c>
      <c r="N38" s="16">
        <f t="shared" si="3"/>
        <v>128.0281690140844</v>
      </c>
      <c r="O38" s="18">
        <f t="shared" si="4"/>
        <v>0</v>
      </c>
      <c r="P38" s="19">
        <f t="shared" si="5"/>
        <v>-5.305164319248945</v>
      </c>
      <c r="Q38" s="20">
        <f t="shared" si="6"/>
        <v>0.96021126760563291</v>
      </c>
      <c r="R38" s="170"/>
      <c r="S38" s="27">
        <v>0.56249999999999989</v>
      </c>
      <c r="T38" s="27">
        <v>0.61180555555555549</v>
      </c>
      <c r="U38" s="4">
        <f t="shared" si="30"/>
        <v>5.9999999999999787</v>
      </c>
      <c r="V38" s="21">
        <f t="shared" si="29"/>
        <v>71.000000000000071</v>
      </c>
      <c r="W38" s="22"/>
      <c r="X38" s="22"/>
      <c r="Y38" s="25"/>
      <c r="Z38" s="25"/>
      <c r="AA38" s="176"/>
      <c r="AB38" s="177"/>
      <c r="AC38" s="24"/>
      <c r="AD38" s="24"/>
      <c r="AE38" s="18">
        <f t="shared" si="8"/>
        <v>-95.492957746480897</v>
      </c>
      <c r="AF38" s="20">
        <f t="shared" si="9"/>
        <v>0.96021126760563291</v>
      </c>
      <c r="AG38" s="170"/>
    </row>
    <row r="39" spans="1:33">
      <c r="A39" s="189" t="s">
        <v>59</v>
      </c>
      <c r="B39" s="35" t="s">
        <v>97</v>
      </c>
      <c r="C39" s="163" t="s">
        <v>105</v>
      </c>
      <c r="D39" s="163"/>
      <c r="E39" s="35">
        <v>26.39</v>
      </c>
      <c r="F39" s="4">
        <v>2115</v>
      </c>
      <c r="G39" s="4">
        <f t="shared" si="27"/>
        <v>55814.85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2307.2727272727288</v>
      </c>
      <c r="N39" s="16">
        <f t="shared" si="3"/>
        <v>121.43540669856468</v>
      </c>
      <c r="O39" s="18">
        <f t="shared" si="4"/>
        <v>0</v>
      </c>
      <c r="P39" s="19">
        <f t="shared" si="5"/>
        <v>-4.8803827751195286</v>
      </c>
      <c r="Q39" s="20">
        <f t="shared" si="6"/>
        <v>0.96136363636363709</v>
      </c>
      <c r="R39" s="170"/>
      <c r="S39" s="27">
        <v>0.61666666666666659</v>
      </c>
      <c r="T39" s="27">
        <v>0.65486111111111101</v>
      </c>
      <c r="U39" s="4">
        <f t="shared" si="30"/>
        <v>6.9999999999999751</v>
      </c>
      <c r="V39" s="21">
        <f t="shared" si="29"/>
        <v>54.999999999999964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-92.727272727271156</v>
      </c>
      <c r="AF39" s="20">
        <f t="shared" si="9"/>
        <v>0.96136363636363698</v>
      </c>
      <c r="AG39" s="170"/>
    </row>
    <row r="40" spans="1:33">
      <c r="A40" s="189" t="s">
        <v>59</v>
      </c>
      <c r="B40" s="16" t="s">
        <v>48</v>
      </c>
      <c r="C40" s="171"/>
      <c r="D40" s="171"/>
      <c r="E40" s="36"/>
      <c r="F40" s="16"/>
      <c r="G40" s="16"/>
      <c r="H40" s="4"/>
      <c r="I40" s="29">
        <v>17.5</v>
      </c>
      <c r="J40" s="17">
        <v>2400</v>
      </c>
      <c r="K40" s="16">
        <f t="shared" si="1"/>
        <v>137.14285714285714</v>
      </c>
      <c r="L40" s="29">
        <v>17.5</v>
      </c>
      <c r="M40" s="17">
        <f>AVERAGE(M32:M39)</f>
        <v>2301.6942337048881</v>
      </c>
      <c r="N40" s="16">
        <f t="shared" si="3"/>
        <v>131.52538478313647</v>
      </c>
      <c r="O40" s="18">
        <f t="shared" si="4"/>
        <v>0</v>
      </c>
      <c r="P40" s="19">
        <f t="shared" si="5"/>
        <v>-5.6174723597206651</v>
      </c>
      <c r="Q40" s="20">
        <f t="shared" si="6"/>
        <v>0.95903926404370343</v>
      </c>
      <c r="R40" s="170"/>
      <c r="S40" s="27"/>
      <c r="T40" s="27"/>
      <c r="U40" s="16"/>
      <c r="V40" s="21"/>
      <c r="W40" s="16"/>
      <c r="X40" s="16"/>
      <c r="Y40" s="30">
        <f>SUM(Y32:Y39)</f>
        <v>0</v>
      </c>
      <c r="Z40" s="30">
        <f>SUM(Z32:Z39)</f>
        <v>0</v>
      </c>
      <c r="AA40" s="166"/>
      <c r="AB40" s="166"/>
      <c r="AC40" s="30">
        <v>8</v>
      </c>
      <c r="AD40" s="30">
        <f>SUM(AD32:AD39)</f>
        <v>0</v>
      </c>
      <c r="AE40" s="18">
        <f t="shared" si="8"/>
        <v>-98.30576629511188</v>
      </c>
      <c r="AF40" s="20">
        <f t="shared" si="9"/>
        <v>0.95903926404370343</v>
      </c>
      <c r="AG40" s="170"/>
    </row>
    <row r="41" spans="1:33" ht="15.75" customHeight="1">
      <c r="A41" s="182" t="s">
        <v>68</v>
      </c>
      <c r="B41" s="35" t="s">
        <v>108</v>
      </c>
      <c r="C41" s="174" t="s">
        <v>1514</v>
      </c>
      <c r="D41" s="175"/>
      <c r="E41" s="35">
        <v>34.35</v>
      </c>
      <c r="F41" s="4">
        <v>3020</v>
      </c>
      <c r="G41" s="4">
        <f t="shared" ref="G41:G45" si="31">E41*F41</f>
        <v>103737</v>
      </c>
      <c r="H41" s="21" t="s">
        <v>133</v>
      </c>
      <c r="I41" s="15">
        <v>8</v>
      </c>
      <c r="J41" s="17">
        <v>3000</v>
      </c>
      <c r="K41" s="16">
        <f t="shared" si="1"/>
        <v>375</v>
      </c>
      <c r="L41" s="15">
        <v>8</v>
      </c>
      <c r="M41" s="17">
        <f t="shared" ref="M41:M45" si="32">F41/V41*60</f>
        <v>2876.1904761904766</v>
      </c>
      <c r="N41" s="17">
        <f t="shared" si="3"/>
        <v>359.52380952380958</v>
      </c>
      <c r="O41" s="18">
        <f t="shared" si="4"/>
        <v>0</v>
      </c>
      <c r="P41" s="19">
        <f t="shared" si="5"/>
        <v>-15.476190476190425</v>
      </c>
      <c r="Q41" s="20">
        <f t="shared" si="6"/>
        <v>0.95873015873015888</v>
      </c>
      <c r="R41" s="185">
        <f>Q46</f>
        <v>0.95512812988052531</v>
      </c>
      <c r="S41" s="27">
        <v>8.3333333333333329E-2</v>
      </c>
      <c r="T41" s="27">
        <v>0.12708333333333333</v>
      </c>
      <c r="U41" s="27"/>
      <c r="V41" s="21">
        <f t="shared" ref="V41:V45" si="33">(T41-S41)*24*60</f>
        <v>62.999999999999986</v>
      </c>
      <c r="W41" s="22">
        <f>T41</f>
        <v>0.12708333333333333</v>
      </c>
      <c r="X41" s="22">
        <f>S42</f>
        <v>0.14722222222222223</v>
      </c>
      <c r="Y41" s="25"/>
      <c r="Z41" s="25"/>
      <c r="AA41" s="176"/>
      <c r="AB41" s="177"/>
      <c r="AC41" s="24">
        <v>5</v>
      </c>
      <c r="AD41" s="24"/>
      <c r="AE41" s="18">
        <f t="shared" si="8"/>
        <v>-123.8095238095234</v>
      </c>
      <c r="AF41" s="20">
        <f t="shared" si="9"/>
        <v>0.95873015873015888</v>
      </c>
      <c r="AG41" s="185">
        <f>AF46</f>
        <v>0.9551281298805252</v>
      </c>
    </row>
    <row r="42" spans="1:33" ht="15.75" customHeight="1">
      <c r="A42" s="183" t="s">
        <v>68</v>
      </c>
      <c r="B42" s="35" t="s">
        <v>108</v>
      </c>
      <c r="C42" s="174" t="s">
        <v>111</v>
      </c>
      <c r="D42" s="175"/>
      <c r="E42" s="35">
        <v>21.13</v>
      </c>
      <c r="F42" s="4">
        <v>5983</v>
      </c>
      <c r="G42" s="4">
        <f t="shared" si="31"/>
        <v>126420.79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2871.84</v>
      </c>
      <c r="N42" s="17">
        <f t="shared" si="3"/>
        <v>287.18400000000003</v>
      </c>
      <c r="O42" s="18">
        <f t="shared" si="4"/>
        <v>0</v>
      </c>
      <c r="P42" s="19">
        <f t="shared" si="5"/>
        <v>-12.815999999999974</v>
      </c>
      <c r="Q42" s="20">
        <f t="shared" si="6"/>
        <v>0.95728000000000013</v>
      </c>
      <c r="R42" s="186"/>
      <c r="S42" s="27">
        <v>0.14722222222222223</v>
      </c>
      <c r="T42" s="27">
        <v>0.23402777777777778</v>
      </c>
      <c r="U42" s="4">
        <f t="shared" ref="U42:U45" si="34">(S42-T41)*24*60</f>
        <v>29.000000000000018</v>
      </c>
      <c r="V42" s="21">
        <f t="shared" si="33"/>
        <v>124.99999999999999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-128.15999999999985</v>
      </c>
      <c r="AF42" s="20">
        <f t="shared" si="9"/>
        <v>0.95728000000000002</v>
      </c>
      <c r="AG42" s="186"/>
    </row>
    <row r="43" spans="1:33" ht="15.75" customHeight="1">
      <c r="A43" s="183" t="s">
        <v>68</v>
      </c>
      <c r="B43" s="35" t="s">
        <v>108</v>
      </c>
      <c r="C43" s="174" t="s">
        <v>112</v>
      </c>
      <c r="D43" s="175"/>
      <c r="E43" s="35">
        <v>27.17</v>
      </c>
      <c r="F43" s="4">
        <v>7594</v>
      </c>
      <c r="G43" s="4">
        <f t="shared" si="31"/>
        <v>206328.98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2865.6603773584911</v>
      </c>
      <c r="N43" s="17">
        <f t="shared" si="3"/>
        <v>286.56603773584914</v>
      </c>
      <c r="O43" s="18">
        <f t="shared" si="4"/>
        <v>0</v>
      </c>
      <c r="P43" s="19">
        <f t="shared" si="5"/>
        <v>-13.433962264150864</v>
      </c>
      <c r="Q43" s="20">
        <f t="shared" si="6"/>
        <v>0.95522012578616378</v>
      </c>
      <c r="R43" s="186"/>
      <c r="S43" s="27">
        <v>0.2388888888888889</v>
      </c>
      <c r="T43" s="27">
        <v>0.34930555555555554</v>
      </c>
      <c r="U43" s="4">
        <f t="shared" si="34"/>
        <v>7.0000000000000151</v>
      </c>
      <c r="V43" s="21">
        <f t="shared" si="33"/>
        <v>158.99999999999997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-134.33962264150887</v>
      </c>
      <c r="AF43" s="20">
        <f t="shared" si="9"/>
        <v>0.95522012578616367</v>
      </c>
      <c r="AG43" s="186"/>
    </row>
    <row r="44" spans="1:33" ht="15.75" customHeight="1">
      <c r="A44" s="183" t="s">
        <v>2070</v>
      </c>
      <c r="B44" s="35" t="s">
        <v>108</v>
      </c>
      <c r="C44" s="174" t="s">
        <v>305</v>
      </c>
      <c r="D44" s="175"/>
      <c r="E44" s="35">
        <v>28.3</v>
      </c>
      <c r="F44" s="4">
        <v>2908</v>
      </c>
      <c r="G44" s="4">
        <f t="shared" si="31"/>
        <v>82296.400000000009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2860.3278688524579</v>
      </c>
      <c r="N44" s="17">
        <f t="shared" si="3"/>
        <v>357.54098360655723</v>
      </c>
      <c r="O44" s="18">
        <f t="shared" si="4"/>
        <v>0</v>
      </c>
      <c r="P44" s="19">
        <f t="shared" si="5"/>
        <v>-17.459016393442766</v>
      </c>
      <c r="Q44" s="20">
        <f t="shared" si="6"/>
        <v>0.95344262295081927</v>
      </c>
      <c r="R44" s="186"/>
      <c r="S44" s="27">
        <v>0.35277777777777775</v>
      </c>
      <c r="T44" s="27">
        <v>0.39513888888888887</v>
      </c>
      <c r="U44" s="4">
        <f t="shared" si="34"/>
        <v>4.9999999999999822</v>
      </c>
      <c r="V44" s="21">
        <f t="shared" si="33"/>
        <v>61.000000000000021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-139.67213114754213</v>
      </c>
      <c r="AF44" s="20">
        <f t="shared" si="9"/>
        <v>0.95344262295081927</v>
      </c>
      <c r="AG44" s="186"/>
    </row>
    <row r="45" spans="1:33" ht="15.75" customHeight="1">
      <c r="A45" s="183" t="s">
        <v>68</v>
      </c>
      <c r="B45" s="35" t="s">
        <v>108</v>
      </c>
      <c r="C45" s="174" t="s">
        <v>113</v>
      </c>
      <c r="D45" s="175"/>
      <c r="E45" s="35">
        <v>35.869999999999997</v>
      </c>
      <c r="F45" s="4">
        <v>4422</v>
      </c>
      <c r="G45" s="4">
        <f t="shared" si="31"/>
        <v>158617.13999999998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2852.9032258064522</v>
      </c>
      <c r="N45" s="17">
        <f t="shared" si="3"/>
        <v>316.98924731182802</v>
      </c>
      <c r="O45" s="18">
        <f t="shared" si="4"/>
        <v>0</v>
      </c>
      <c r="P45" s="19">
        <f t="shared" si="5"/>
        <v>-16.344086021505291</v>
      </c>
      <c r="Q45" s="20">
        <f t="shared" si="6"/>
        <v>0.95096774193548417</v>
      </c>
      <c r="R45" s="186"/>
      <c r="S45" s="27">
        <v>0.39930555555555552</v>
      </c>
      <c r="T45" s="27">
        <v>0.46388888888888885</v>
      </c>
      <c r="U45" s="4">
        <f t="shared" si="34"/>
        <v>5.9999999999999787</v>
      </c>
      <c r="V45" s="21">
        <f t="shared" si="33"/>
        <v>92.999999999999986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-147.09677419354784</v>
      </c>
      <c r="AF45" s="20">
        <f t="shared" si="9"/>
        <v>0.95096774193548406</v>
      </c>
      <c r="AG45" s="186"/>
    </row>
    <row r="46" spans="1:33" ht="15.75" customHeight="1">
      <c r="A46" s="184" t="s">
        <v>68</v>
      </c>
      <c r="B46" s="35" t="s">
        <v>48</v>
      </c>
      <c r="C46" s="164"/>
      <c r="D46" s="165"/>
      <c r="E46" s="37"/>
      <c r="F46" s="4"/>
      <c r="G46" s="4"/>
      <c r="H46" s="4"/>
      <c r="I46" s="29">
        <v>9</v>
      </c>
      <c r="J46" s="17">
        <v>3000</v>
      </c>
      <c r="K46" s="16">
        <f t="shared" si="1"/>
        <v>333.33333333333331</v>
      </c>
      <c r="L46" s="29">
        <v>9</v>
      </c>
      <c r="M46" s="17">
        <f>AVERAGE(M41:M45)</f>
        <v>2865.3843896415756</v>
      </c>
      <c r="N46" s="16">
        <f t="shared" si="3"/>
        <v>318.37604329350842</v>
      </c>
      <c r="O46" s="18">
        <f t="shared" si="4"/>
        <v>0</v>
      </c>
      <c r="P46" s="19">
        <f t="shared" si="5"/>
        <v>-14.957290039824898</v>
      </c>
      <c r="Q46" s="20">
        <f t="shared" si="6"/>
        <v>0.95512812988052531</v>
      </c>
      <c r="R46" s="187"/>
      <c r="S46" s="27"/>
      <c r="T46" s="27"/>
      <c r="U46" s="4"/>
      <c r="V46" s="21"/>
      <c r="W46" s="22"/>
      <c r="X46" s="22"/>
      <c r="Y46" s="30">
        <f>SUM(Y41:Y45)</f>
        <v>0</v>
      </c>
      <c r="Z46" s="30">
        <f>SUM(Z41:Z45)</f>
        <v>0</v>
      </c>
      <c r="AA46" s="180"/>
      <c r="AB46" s="181"/>
      <c r="AC46" s="30">
        <v>5</v>
      </c>
      <c r="AD46" s="30">
        <f>SUM(AD41:AD45)</f>
        <v>0</v>
      </c>
      <c r="AE46" s="18">
        <f t="shared" si="8"/>
        <v>-134.61561035842442</v>
      </c>
      <c r="AF46" s="20">
        <f t="shared" si="9"/>
        <v>0.9551281298805252</v>
      </c>
      <c r="AG46" s="187"/>
    </row>
    <row r="47" spans="1:33" ht="15.75" customHeight="1">
      <c r="A47" s="178" t="s">
        <v>72</v>
      </c>
      <c r="B47" s="35" t="s">
        <v>84</v>
      </c>
      <c r="C47" s="163" t="s">
        <v>114</v>
      </c>
      <c r="D47" s="163"/>
      <c r="E47" s="35">
        <v>46</v>
      </c>
      <c r="F47" s="38">
        <v>2441</v>
      </c>
      <c r="G47" s="4">
        <f t="shared" ref="G47:G54" si="35">E47*F47</f>
        <v>112286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" si="36">F47/V47*60</f>
        <v>1902.077922077922</v>
      </c>
      <c r="N47" s="17">
        <f t="shared" si="3"/>
        <v>111.88693659281894</v>
      </c>
      <c r="O47" s="18">
        <f t="shared" si="4"/>
        <v>0</v>
      </c>
      <c r="P47" s="19">
        <f t="shared" si="5"/>
        <v>-5.7601222307104649</v>
      </c>
      <c r="Q47" s="20">
        <f t="shared" si="6"/>
        <v>0.95103896103896102</v>
      </c>
      <c r="R47" s="170">
        <f>Q55</f>
        <v>0.95299326653696648</v>
      </c>
      <c r="S47" s="27">
        <v>0.20833333333333334</v>
      </c>
      <c r="T47" s="27">
        <v>0.26180555555555557</v>
      </c>
      <c r="U47" s="27"/>
      <c r="V47" s="21">
        <f t="shared" ref="V47:V54" si="37">(T47-S47)*24*60</f>
        <v>77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-97.92207792207796</v>
      </c>
      <c r="AF47" s="20">
        <f t="shared" si="9"/>
        <v>0.95103896103896102</v>
      </c>
      <c r="AG47" s="170">
        <f>AF55</f>
        <v>0.95299326653696648</v>
      </c>
    </row>
    <row r="48" spans="1:33" ht="15.75" customHeight="1">
      <c r="A48" s="178" t="s">
        <v>72</v>
      </c>
      <c r="B48" s="35" t="s">
        <v>78</v>
      </c>
      <c r="C48" s="163" t="s">
        <v>115</v>
      </c>
      <c r="D48" s="163"/>
      <c r="E48" s="35">
        <v>56.43</v>
      </c>
      <c r="F48" s="38">
        <v>1908</v>
      </c>
      <c r="G48" s="4">
        <f t="shared" si="35"/>
        <v>107668.44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>F48/V48*60</f>
        <v>1876.721311475409</v>
      </c>
      <c r="N48" s="17">
        <f t="shared" si="3"/>
        <v>85.305514157973136</v>
      </c>
      <c r="O48" s="18">
        <f t="shared" si="4"/>
        <v>0</v>
      </c>
      <c r="P48" s="19">
        <f t="shared" si="5"/>
        <v>-5.603576751117771</v>
      </c>
      <c r="Q48" s="20">
        <f t="shared" si="6"/>
        <v>0.93836065573770455</v>
      </c>
      <c r="R48" s="170"/>
      <c r="S48" s="27">
        <v>0.2673611111111111</v>
      </c>
      <c r="T48" s="27">
        <v>0.30972222222222223</v>
      </c>
      <c r="U48" s="4">
        <f t="shared" ref="U48:U54" si="38">IF(S48=TIME(17,0,0),"",(S48-T47)*24*60)</f>
        <v>7.9999999999999716</v>
      </c>
      <c r="V48" s="21">
        <f t="shared" si="37"/>
        <v>61.000000000000021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-123.27868852459096</v>
      </c>
      <c r="AF48" s="20">
        <f t="shared" si="9"/>
        <v>0.93836065573770455</v>
      </c>
      <c r="AG48" s="170"/>
    </row>
    <row r="49" spans="1:33" ht="15.75" customHeight="1">
      <c r="A49" s="178" t="s">
        <v>72</v>
      </c>
      <c r="B49" s="35" t="s">
        <v>78</v>
      </c>
      <c r="C49" s="174" t="s">
        <v>116</v>
      </c>
      <c r="D49" s="175"/>
      <c r="E49" s="35">
        <v>51.75</v>
      </c>
      <c r="F49" s="38">
        <v>1313</v>
      </c>
      <c r="G49" s="4">
        <f t="shared" si="35"/>
        <v>67947.75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ref="M49:M54" si="39">F49/V49*60</f>
        <v>1832.0930232558137</v>
      </c>
      <c r="N49" s="17">
        <f t="shared" si="3"/>
        <v>73.283720930232548</v>
      </c>
      <c r="O49" s="18">
        <f t="shared" si="4"/>
        <v>0</v>
      </c>
      <c r="P49" s="19">
        <f t="shared" si="5"/>
        <v>-6.7162790697674524</v>
      </c>
      <c r="Q49" s="20">
        <f t="shared" si="6"/>
        <v>0.91604651162790685</v>
      </c>
      <c r="R49" s="170"/>
      <c r="S49" s="27">
        <v>0.31527777777777777</v>
      </c>
      <c r="T49" s="27">
        <v>0.34513888888888888</v>
      </c>
      <c r="U49" s="4">
        <f t="shared" si="38"/>
        <v>7.9999999999999716</v>
      </c>
      <c r="V49" s="21">
        <f t="shared" si="37"/>
        <v>43.000000000000007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-167.9069767441863</v>
      </c>
      <c r="AF49" s="20">
        <f t="shared" si="9"/>
        <v>0.91604651162790685</v>
      </c>
      <c r="AG49" s="170"/>
    </row>
    <row r="50" spans="1:33" ht="15.75" customHeight="1">
      <c r="A50" s="178" t="s">
        <v>72</v>
      </c>
      <c r="B50" s="35" t="s">
        <v>78</v>
      </c>
      <c r="C50" s="39" t="s">
        <v>118</v>
      </c>
      <c r="D50" s="40"/>
      <c r="E50" s="35">
        <v>57.73</v>
      </c>
      <c r="F50" s="38">
        <v>1135</v>
      </c>
      <c r="G50" s="4">
        <f t="shared" si="35"/>
        <v>65523.549999999996</v>
      </c>
      <c r="H50" s="21" t="s">
        <v>133</v>
      </c>
      <c r="I50" s="15">
        <v>16</v>
      </c>
      <c r="J50" s="17">
        <v>1500</v>
      </c>
      <c r="K50" s="16">
        <f t="shared" si="1"/>
        <v>93.75</v>
      </c>
      <c r="L50" s="15">
        <v>16</v>
      </c>
      <c r="M50" s="17">
        <f t="shared" si="39"/>
        <v>1448.9361702127662</v>
      </c>
      <c r="N50" s="17">
        <f t="shared" si="3"/>
        <v>90.558510638297889</v>
      </c>
      <c r="O50" s="18">
        <f t="shared" si="4"/>
        <v>0</v>
      </c>
      <c r="P50" s="19">
        <f t="shared" si="5"/>
        <v>-3.1914893617021107</v>
      </c>
      <c r="Q50" s="20">
        <f t="shared" si="6"/>
        <v>0.96595744680851081</v>
      </c>
      <c r="R50" s="170"/>
      <c r="S50" s="27">
        <v>0.70833333333333337</v>
      </c>
      <c r="T50" s="27">
        <v>0.74097222222222225</v>
      </c>
      <c r="U50" s="4" t="str">
        <f t="shared" si="38"/>
        <v/>
      </c>
      <c r="V50" s="21">
        <f t="shared" si="37"/>
        <v>46.999999999999993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-51.063829787233772</v>
      </c>
      <c r="AF50" s="20">
        <f t="shared" si="9"/>
        <v>0.96595744680851081</v>
      </c>
      <c r="AG50" s="170"/>
    </row>
    <row r="51" spans="1:33" ht="15.75" customHeight="1">
      <c r="A51" s="178" t="s">
        <v>72</v>
      </c>
      <c r="B51" s="35" t="s">
        <v>78</v>
      </c>
      <c r="C51" s="39" t="s">
        <v>119</v>
      </c>
      <c r="D51" s="40"/>
      <c r="E51" s="35">
        <v>54.29</v>
      </c>
      <c r="F51" s="38">
        <v>1291</v>
      </c>
      <c r="G51" s="4">
        <f t="shared" si="35"/>
        <v>70088.39</v>
      </c>
      <c r="H51" s="21" t="s">
        <v>133</v>
      </c>
      <c r="I51" s="15">
        <v>20</v>
      </c>
      <c r="J51" s="17">
        <v>2000</v>
      </c>
      <c r="K51" s="16">
        <f t="shared" si="1"/>
        <v>100</v>
      </c>
      <c r="L51" s="15">
        <v>20</v>
      </c>
      <c r="M51" s="17">
        <f t="shared" si="39"/>
        <v>1936.4999999999995</v>
      </c>
      <c r="N51" s="17">
        <f t="shared" si="3"/>
        <v>96.824999999999974</v>
      </c>
      <c r="O51" s="18">
        <f t="shared" si="4"/>
        <v>0</v>
      </c>
      <c r="P51" s="19">
        <f t="shared" si="5"/>
        <v>-3.1750000000000256</v>
      </c>
      <c r="Q51" s="20">
        <f t="shared" si="6"/>
        <v>0.96824999999999972</v>
      </c>
      <c r="R51" s="170"/>
      <c r="S51" s="27">
        <v>0.74444444444444446</v>
      </c>
      <c r="T51" s="27">
        <v>0.77222222222222225</v>
      </c>
      <c r="U51" s="4">
        <f t="shared" si="38"/>
        <v>4.9999999999999822</v>
      </c>
      <c r="V51" s="21">
        <f t="shared" si="37"/>
        <v>40.000000000000014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-63.500000000000455</v>
      </c>
      <c r="AF51" s="20">
        <f t="shared" si="9"/>
        <v>0.96824999999999972</v>
      </c>
      <c r="AG51" s="170"/>
    </row>
    <row r="52" spans="1:33" ht="15.75" customHeight="1">
      <c r="A52" s="178" t="s">
        <v>72</v>
      </c>
      <c r="B52" s="35" t="s">
        <v>78</v>
      </c>
      <c r="C52" s="174" t="s">
        <v>120</v>
      </c>
      <c r="D52" s="175"/>
      <c r="E52" s="35">
        <v>55.56</v>
      </c>
      <c r="F52" s="38">
        <v>1000</v>
      </c>
      <c r="G52" s="4">
        <f t="shared" si="35"/>
        <v>55560</v>
      </c>
      <c r="H52" s="21">
        <v>2</v>
      </c>
      <c r="I52" s="15">
        <v>17</v>
      </c>
      <c r="J52" s="17">
        <v>2000</v>
      </c>
      <c r="K52" s="16">
        <f t="shared" si="1"/>
        <v>117.64705882352941</v>
      </c>
      <c r="L52" s="15">
        <v>17</v>
      </c>
      <c r="M52" s="17">
        <f t="shared" si="39"/>
        <v>1935.483870967739</v>
      </c>
      <c r="N52" s="17">
        <f t="shared" si="3"/>
        <v>113.85199240986699</v>
      </c>
      <c r="O52" s="18">
        <f t="shared" si="4"/>
        <v>0</v>
      </c>
      <c r="P52" s="19">
        <f t="shared" si="5"/>
        <v>-3.7950664136624113</v>
      </c>
      <c r="Q52" s="20">
        <f t="shared" si="6"/>
        <v>0.96774193548386955</v>
      </c>
      <c r="R52" s="170"/>
      <c r="S52" s="27">
        <v>0.77708333333333335</v>
      </c>
      <c r="T52" s="27">
        <v>0.79861111111111116</v>
      </c>
      <c r="U52" s="4">
        <f t="shared" si="38"/>
        <v>6.9999999999999751</v>
      </c>
      <c r="V52" s="21">
        <f t="shared" si="37"/>
        <v>31.00000000000005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-64.516129032261006</v>
      </c>
      <c r="AF52" s="20">
        <f t="shared" si="9"/>
        <v>0.96774193548386944</v>
      </c>
      <c r="AG52" s="170"/>
    </row>
    <row r="53" spans="1:33" ht="15.75" customHeight="1">
      <c r="A53" s="178" t="s">
        <v>72</v>
      </c>
      <c r="B53" s="35" t="s">
        <v>78</v>
      </c>
      <c r="C53" s="174" t="s">
        <v>121</v>
      </c>
      <c r="D53" s="175"/>
      <c r="E53" s="35">
        <v>55.32</v>
      </c>
      <c r="F53" s="38">
        <v>1537</v>
      </c>
      <c r="G53" s="4">
        <f t="shared" si="35"/>
        <v>85026.84</v>
      </c>
      <c r="H53" s="21" t="s">
        <v>133</v>
      </c>
      <c r="I53" s="15">
        <v>15</v>
      </c>
      <c r="J53" s="17">
        <v>2000</v>
      </c>
      <c r="K53" s="16">
        <f t="shared" si="1"/>
        <v>133.33333333333334</v>
      </c>
      <c r="L53" s="15">
        <v>15</v>
      </c>
      <c r="M53" s="17">
        <f t="shared" si="39"/>
        <v>1921.2500000000005</v>
      </c>
      <c r="N53" s="17">
        <f t="shared" si="3"/>
        <v>128.08333333333337</v>
      </c>
      <c r="O53" s="18">
        <f t="shared" si="4"/>
        <v>0</v>
      </c>
      <c r="P53" s="19">
        <f t="shared" si="5"/>
        <v>-5.2499999999999716</v>
      </c>
      <c r="Q53" s="20">
        <f t="shared" si="6"/>
        <v>0.96062500000000017</v>
      </c>
      <c r="R53" s="170"/>
      <c r="S53" s="27">
        <v>0.80347222222222225</v>
      </c>
      <c r="T53" s="27">
        <v>0.83680555555555558</v>
      </c>
      <c r="U53" s="4">
        <f t="shared" si="38"/>
        <v>6.9999999999999751</v>
      </c>
      <c r="V53" s="21">
        <f t="shared" si="37"/>
        <v>47.999999999999986</v>
      </c>
      <c r="W53" s="22">
        <f>T53</f>
        <v>0.83680555555555558</v>
      </c>
      <c r="X53" s="22">
        <f>S54</f>
        <v>0.87847222222222221</v>
      </c>
      <c r="Y53" s="25"/>
      <c r="Z53" s="25"/>
      <c r="AA53" s="176"/>
      <c r="AB53" s="177"/>
      <c r="AC53" s="24"/>
      <c r="AD53" s="24"/>
      <c r="AE53" s="18">
        <f t="shared" si="8"/>
        <v>-78.749999999999545</v>
      </c>
      <c r="AF53" s="20">
        <f t="shared" si="9"/>
        <v>0.96062500000000017</v>
      </c>
      <c r="AG53" s="170"/>
    </row>
    <row r="54" spans="1:33" ht="15.75" customHeight="1">
      <c r="A54" s="178" t="s">
        <v>72</v>
      </c>
      <c r="B54" s="35" t="s">
        <v>78</v>
      </c>
      <c r="C54" s="174" t="s">
        <v>120</v>
      </c>
      <c r="D54" s="175"/>
      <c r="E54" s="35">
        <v>55.56</v>
      </c>
      <c r="F54" s="38">
        <v>1151</v>
      </c>
      <c r="G54" s="4">
        <f t="shared" si="35"/>
        <v>63949.560000000005</v>
      </c>
      <c r="H54" s="21" t="s">
        <v>133</v>
      </c>
      <c r="I54" s="15">
        <v>17</v>
      </c>
      <c r="J54" s="17">
        <v>2000</v>
      </c>
      <c r="K54" s="16">
        <f t="shared" si="1"/>
        <v>117.64705882352941</v>
      </c>
      <c r="L54" s="15">
        <v>17</v>
      </c>
      <c r="M54" s="17">
        <f t="shared" si="39"/>
        <v>1918.3333333333319</v>
      </c>
      <c r="N54" s="17">
        <f t="shared" si="3"/>
        <v>112.84313725490188</v>
      </c>
      <c r="O54" s="18">
        <f t="shared" si="4"/>
        <v>0</v>
      </c>
      <c r="P54" s="19">
        <f t="shared" si="5"/>
        <v>-4.8039215686275298</v>
      </c>
      <c r="Q54" s="20">
        <f t="shared" si="6"/>
        <v>0.95916666666666595</v>
      </c>
      <c r="R54" s="170"/>
      <c r="S54" s="27">
        <v>0.87847222222222221</v>
      </c>
      <c r="T54" s="27">
        <v>0.90347222222222223</v>
      </c>
      <c r="U54" s="4">
        <f t="shared" si="38"/>
        <v>59.999999999999943</v>
      </c>
      <c r="V54" s="21">
        <f t="shared" si="37"/>
        <v>36.000000000000028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-81.666666666668107</v>
      </c>
      <c r="AF54" s="20">
        <f t="shared" si="9"/>
        <v>0.95916666666666595</v>
      </c>
      <c r="AG54" s="170"/>
    </row>
    <row r="55" spans="1:33">
      <c r="A55" s="179" t="s">
        <v>72</v>
      </c>
      <c r="B55" s="35" t="s">
        <v>48</v>
      </c>
      <c r="C55" s="171"/>
      <c r="D55" s="171"/>
      <c r="E55" s="36"/>
      <c r="F55" s="16"/>
      <c r="G55" s="16"/>
      <c r="H55" s="4"/>
      <c r="I55" s="29">
        <v>18.625</v>
      </c>
      <c r="J55" s="17">
        <v>1937.5</v>
      </c>
      <c r="K55" s="16">
        <f t="shared" si="1"/>
        <v>104.02684563758389</v>
      </c>
      <c r="L55" s="29">
        <v>18.625</v>
      </c>
      <c r="M55" s="17">
        <f>AVERAGE(M47:M54)</f>
        <v>1846.4244539153726</v>
      </c>
      <c r="N55" s="16">
        <f t="shared" si="3"/>
        <v>99.136883431697854</v>
      </c>
      <c r="O55" s="18">
        <f t="shared" si="4"/>
        <v>0</v>
      </c>
      <c r="P55" s="19">
        <f t="shared" si="5"/>
        <v>-4.8899622058860359</v>
      </c>
      <c r="Q55" s="20">
        <f t="shared" si="6"/>
        <v>0.95299326653696648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v>8</v>
      </c>
      <c r="AD55" s="30">
        <f>SUM(AD47:AD54)</f>
        <v>0</v>
      </c>
      <c r="AE55" s="18">
        <f>M55-J55</f>
        <v>-91.075546084627376</v>
      </c>
      <c r="AF55" s="20">
        <f t="shared" si="9"/>
        <v>0.95299326653696648</v>
      </c>
      <c r="AG55" s="170"/>
    </row>
    <row r="56" spans="1:33" ht="15.75" customHeight="1">
      <c r="A56" s="172" t="s">
        <v>297</v>
      </c>
      <c r="B56" s="4" t="s">
        <v>108</v>
      </c>
      <c r="C56" s="163" t="s">
        <v>125</v>
      </c>
      <c r="D56" s="163"/>
      <c r="E56" s="35">
        <v>37.85</v>
      </c>
      <c r="F56" s="38">
        <v>1677</v>
      </c>
      <c r="G56" s="4">
        <f t="shared" ref="G56:G60" si="40">E56*F56</f>
        <v>63474.450000000004</v>
      </c>
      <c r="H56" s="21" t="s">
        <v>133</v>
      </c>
      <c r="I56" s="15">
        <v>12</v>
      </c>
      <c r="J56" s="17">
        <v>2000</v>
      </c>
      <c r="K56" s="16">
        <f t="shared" si="1"/>
        <v>166.66666666666666</v>
      </c>
      <c r="L56" s="15">
        <v>12</v>
      </c>
      <c r="M56" s="17">
        <f t="shared" ref="M56:M60" si="41">F56/V56*60</f>
        <v>1934.9999999999995</v>
      </c>
      <c r="N56" s="16">
        <f t="shared" si="3"/>
        <v>161.24999999999997</v>
      </c>
      <c r="O56" s="18">
        <f t="shared" si="4"/>
        <v>0</v>
      </c>
      <c r="P56" s="19">
        <f t="shared" si="5"/>
        <v>-5.4166666666666856</v>
      </c>
      <c r="Q56" s="20">
        <f t="shared" si="6"/>
        <v>0.96749999999999992</v>
      </c>
      <c r="R56" s="170">
        <f>Q61</f>
        <v>0.96374220730564253</v>
      </c>
      <c r="S56" s="27">
        <v>0.20833333333333334</v>
      </c>
      <c r="T56" s="27">
        <v>0.24444444444444446</v>
      </c>
      <c r="U56" s="4"/>
      <c r="V56" s="21">
        <f t="shared" ref="V56:V60" si="42">(T56-S56)*24*60</f>
        <v>52.000000000000014</v>
      </c>
      <c r="W56" s="27"/>
      <c r="X56" s="27"/>
      <c r="Y56" s="27"/>
      <c r="Z56" s="27"/>
      <c r="AA56" s="162"/>
      <c r="AB56" s="162"/>
      <c r="AC56" s="24">
        <v>5</v>
      </c>
      <c r="AD56" s="24"/>
      <c r="AE56" s="18">
        <f t="shared" ref="AE56:AE68" si="43">M56-J56</f>
        <v>-65.000000000000455</v>
      </c>
      <c r="AF56" s="20">
        <f t="shared" si="9"/>
        <v>0.9674999999999998</v>
      </c>
      <c r="AG56" s="170">
        <f>AF61</f>
        <v>0.96374220730564264</v>
      </c>
    </row>
    <row r="57" spans="1:33" ht="15.75" customHeight="1">
      <c r="A57" s="172" t="s">
        <v>297</v>
      </c>
      <c r="B57" s="4" t="s">
        <v>108</v>
      </c>
      <c r="C57" s="163" t="s">
        <v>126</v>
      </c>
      <c r="D57" s="163"/>
      <c r="E57" s="35">
        <v>34.36</v>
      </c>
      <c r="F57" s="38">
        <v>2230</v>
      </c>
      <c r="G57" s="4">
        <f t="shared" si="40"/>
        <v>76622.8</v>
      </c>
      <c r="H57" s="21" t="s">
        <v>133</v>
      </c>
      <c r="I57" s="15">
        <v>10</v>
      </c>
      <c r="J57" s="17">
        <v>3000</v>
      </c>
      <c r="K57" s="16">
        <f t="shared" si="1"/>
        <v>300</v>
      </c>
      <c r="L57" s="15">
        <v>10</v>
      </c>
      <c r="M57" s="17">
        <f t="shared" si="41"/>
        <v>2908.695652173913</v>
      </c>
      <c r="N57" s="16">
        <f t="shared" si="3"/>
        <v>290.86956521739131</v>
      </c>
      <c r="O57" s="18">
        <f t="shared" si="4"/>
        <v>0</v>
      </c>
      <c r="P57" s="19">
        <f t="shared" si="5"/>
        <v>-9.1304347826086882</v>
      </c>
      <c r="Q57" s="20">
        <f t="shared" si="6"/>
        <v>0.96956521739130441</v>
      </c>
      <c r="R57" s="170"/>
      <c r="S57" s="27">
        <v>0.25</v>
      </c>
      <c r="T57" s="27">
        <v>0.28194444444444444</v>
      </c>
      <c r="U57" s="4">
        <f t="shared" ref="U57:U60" si="44">(S57-T56)*24*60</f>
        <v>7.9999999999999716</v>
      </c>
      <c r="V57" s="21">
        <f t="shared" si="42"/>
        <v>46</v>
      </c>
      <c r="W57" s="4"/>
      <c r="X57" s="4"/>
      <c r="Y57" s="4"/>
      <c r="Z57" s="4"/>
      <c r="AA57" s="162"/>
      <c r="AB57" s="162"/>
      <c r="AC57" s="24"/>
      <c r="AD57" s="24"/>
      <c r="AE57" s="18">
        <f t="shared" si="43"/>
        <v>-91.304347826086996</v>
      </c>
      <c r="AF57" s="20">
        <f t="shared" si="9"/>
        <v>0.9695652173913043</v>
      </c>
      <c r="AG57" s="170"/>
    </row>
    <row r="58" spans="1:33" ht="15.75" customHeight="1">
      <c r="A58" s="172" t="s">
        <v>297</v>
      </c>
      <c r="B58" s="4" t="s">
        <v>108</v>
      </c>
      <c r="C58" s="163" t="s">
        <v>127</v>
      </c>
      <c r="D58" s="163"/>
      <c r="E58" s="35">
        <v>35.119999999999997</v>
      </c>
      <c r="F58" s="38">
        <v>6221</v>
      </c>
      <c r="G58" s="4">
        <f t="shared" si="40"/>
        <v>218481.52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1"/>
        <v>2871.2307692307686</v>
      </c>
      <c r="N58" s="16">
        <f t="shared" si="3"/>
        <v>287.12307692307684</v>
      </c>
      <c r="O58" s="18">
        <f t="shared" si="4"/>
        <v>0</v>
      </c>
      <c r="P58" s="19">
        <f t="shared" si="5"/>
        <v>-12.876923076923163</v>
      </c>
      <c r="Q58" s="20">
        <f t="shared" si="6"/>
        <v>0.95707692307692283</v>
      </c>
      <c r="R58" s="170"/>
      <c r="S58" s="27">
        <v>0.28680555555555554</v>
      </c>
      <c r="T58" s="27">
        <v>0.37708333333333333</v>
      </c>
      <c r="U58" s="4">
        <f t="shared" si="44"/>
        <v>6.9999999999999751</v>
      </c>
      <c r="V58" s="21">
        <f t="shared" si="42"/>
        <v>130.00000000000003</v>
      </c>
      <c r="W58" s="4"/>
      <c r="X58" s="4"/>
      <c r="Y58" s="4"/>
      <c r="Z58" s="4"/>
      <c r="AA58" s="162"/>
      <c r="AB58" s="162"/>
      <c r="AC58" s="24"/>
      <c r="AD58" s="24"/>
      <c r="AE58" s="18">
        <f t="shared" si="43"/>
        <v>-128.7692307692314</v>
      </c>
      <c r="AF58" s="20">
        <f t="shared" si="9"/>
        <v>0.95707692307692283</v>
      </c>
      <c r="AG58" s="170"/>
    </row>
    <row r="59" spans="1:33" ht="15.75" customHeight="1">
      <c r="A59" s="172" t="s">
        <v>297</v>
      </c>
      <c r="B59" s="4" t="s">
        <v>108</v>
      </c>
      <c r="C59" s="163" t="s">
        <v>109</v>
      </c>
      <c r="D59" s="163"/>
      <c r="E59" s="35">
        <v>34.36</v>
      </c>
      <c r="F59" s="38">
        <v>2179</v>
      </c>
      <c r="G59" s="4">
        <f t="shared" si="40"/>
        <v>74870.44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1"/>
        <v>2905.3333333333335</v>
      </c>
      <c r="N59" s="16">
        <f t="shared" si="3"/>
        <v>290.53333333333336</v>
      </c>
      <c r="O59" s="18">
        <f t="shared" si="4"/>
        <v>0</v>
      </c>
      <c r="P59" s="19">
        <f t="shared" si="5"/>
        <v>-9.4666666666666401</v>
      </c>
      <c r="Q59" s="20">
        <f t="shared" si="6"/>
        <v>0.96844444444444455</v>
      </c>
      <c r="R59" s="170"/>
      <c r="S59" s="27">
        <v>0.38194444444444442</v>
      </c>
      <c r="T59" s="27">
        <v>0.41319444444444442</v>
      </c>
      <c r="U59" s="4">
        <f t="shared" si="44"/>
        <v>6.9999999999999751</v>
      </c>
      <c r="V59" s="21">
        <f t="shared" si="42"/>
        <v>45</v>
      </c>
      <c r="W59" s="4"/>
      <c r="X59" s="4"/>
      <c r="Y59" s="4"/>
      <c r="Z59" s="4"/>
      <c r="AA59" s="162"/>
      <c r="AB59" s="162"/>
      <c r="AC59" s="24"/>
      <c r="AD59" s="24"/>
      <c r="AE59" s="18">
        <f t="shared" si="43"/>
        <v>-94.666666666666515</v>
      </c>
      <c r="AF59" s="20">
        <f t="shared" si="9"/>
        <v>0.96844444444444444</v>
      </c>
      <c r="AG59" s="170"/>
    </row>
    <row r="60" spans="1:33">
      <c r="A60" s="173" t="s">
        <v>297</v>
      </c>
      <c r="B60" s="4" t="s">
        <v>108</v>
      </c>
      <c r="C60" s="163" t="s">
        <v>110</v>
      </c>
      <c r="D60" s="163"/>
      <c r="E60" s="35">
        <v>26.78</v>
      </c>
      <c r="F60" s="38">
        <v>2920</v>
      </c>
      <c r="G60" s="4">
        <f t="shared" si="40"/>
        <v>78197.600000000006</v>
      </c>
      <c r="H60" s="21" t="s">
        <v>133</v>
      </c>
      <c r="I60" s="15">
        <v>10</v>
      </c>
      <c r="J60" s="17">
        <v>3000</v>
      </c>
      <c r="K60" s="16">
        <f t="shared" si="1"/>
        <v>300</v>
      </c>
      <c r="L60" s="15">
        <v>10</v>
      </c>
      <c r="M60" s="17">
        <f t="shared" si="41"/>
        <v>2872.1311475409825</v>
      </c>
      <c r="N60" s="16">
        <f t="shared" si="3"/>
        <v>287.21311475409823</v>
      </c>
      <c r="O60" s="18">
        <f t="shared" si="4"/>
        <v>0</v>
      </c>
      <c r="P60" s="19">
        <f t="shared" si="5"/>
        <v>-12.786885245901772</v>
      </c>
      <c r="Q60" s="20">
        <f t="shared" si="6"/>
        <v>0.9573770491803274</v>
      </c>
      <c r="R60" s="170"/>
      <c r="S60" s="27">
        <v>0.41874999999999996</v>
      </c>
      <c r="T60" s="27">
        <v>0.46111111111111108</v>
      </c>
      <c r="U60" s="4">
        <f t="shared" si="44"/>
        <v>7.9999999999999716</v>
      </c>
      <c r="V60" s="21">
        <f t="shared" si="42"/>
        <v>61.000000000000021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-127.86885245901749</v>
      </c>
      <c r="AF60" s="20">
        <f t="shared" si="9"/>
        <v>0.95737704918032751</v>
      </c>
      <c r="AG60" s="170"/>
    </row>
    <row r="61" spans="1:33">
      <c r="A61" s="173" t="s">
        <v>297</v>
      </c>
      <c r="B61" s="35" t="s">
        <v>48</v>
      </c>
      <c r="C61" s="171"/>
      <c r="D61" s="171"/>
      <c r="E61" s="36"/>
      <c r="F61" s="16"/>
      <c r="G61" s="16"/>
      <c r="H61" s="4"/>
      <c r="I61" s="29">
        <v>10.4</v>
      </c>
      <c r="J61" s="17">
        <v>2800</v>
      </c>
      <c r="K61" s="16">
        <f t="shared" si="1"/>
        <v>269.23076923076923</v>
      </c>
      <c r="L61" s="29">
        <v>10.4</v>
      </c>
      <c r="M61" s="17">
        <f>AVERAGE(M56:M60)</f>
        <v>2698.4781804557992</v>
      </c>
      <c r="N61" s="16">
        <f t="shared" si="3"/>
        <v>259.46905581305759</v>
      </c>
      <c r="O61" s="18">
        <f t="shared" si="4"/>
        <v>0</v>
      </c>
      <c r="P61" s="19">
        <f t="shared" si="5"/>
        <v>-9.7617134177116327</v>
      </c>
      <c r="Q61" s="20">
        <f t="shared" si="6"/>
        <v>0.96374220730564253</v>
      </c>
      <c r="R61" s="170"/>
      <c r="S61" s="27"/>
      <c r="T61" s="27"/>
      <c r="U61" s="16"/>
      <c r="V61" s="21"/>
      <c r="W61" s="16"/>
      <c r="X61" s="16"/>
      <c r="Y61" s="30">
        <f>SUM(Y56:Y60)</f>
        <v>0</v>
      </c>
      <c r="Z61" s="30">
        <f>SUM(Z56:Z60)</f>
        <v>0</v>
      </c>
      <c r="AA61" s="166"/>
      <c r="AB61" s="166"/>
      <c r="AC61" s="30">
        <v>5</v>
      </c>
      <c r="AD61" s="30">
        <f>SUM(AD56:AD60)</f>
        <v>0</v>
      </c>
      <c r="AE61" s="18">
        <f t="shared" si="43"/>
        <v>-101.52181954420075</v>
      </c>
      <c r="AF61" s="20">
        <f t="shared" si="9"/>
        <v>0.96374220730564264</v>
      </c>
      <c r="AG61" s="170"/>
    </row>
    <row r="62" spans="1:33" ht="15.75" customHeight="1">
      <c r="A62" s="167" t="s">
        <v>2071</v>
      </c>
      <c r="B62" s="4" t="s">
        <v>97</v>
      </c>
      <c r="C62" s="163" t="s">
        <v>128</v>
      </c>
      <c r="D62" s="163"/>
      <c r="E62" s="35">
        <v>20.2</v>
      </c>
      <c r="F62" s="4">
        <v>2413</v>
      </c>
      <c r="G62" s="4">
        <f t="shared" ref="G62:G67" si="45">E62*F62</f>
        <v>48742.6</v>
      </c>
      <c r="H62" s="21" t="s">
        <v>133</v>
      </c>
      <c r="I62" s="15">
        <v>15</v>
      </c>
      <c r="J62" s="17">
        <v>2400</v>
      </c>
      <c r="K62" s="16">
        <f t="shared" si="1"/>
        <v>160</v>
      </c>
      <c r="L62" s="15">
        <v>15</v>
      </c>
      <c r="M62" s="17">
        <f t="shared" ref="M62:M67" si="46">F62/V62*60</f>
        <v>2298.0952380952385</v>
      </c>
      <c r="N62" s="16">
        <f t="shared" si="3"/>
        <v>153.20634920634924</v>
      </c>
      <c r="O62" s="18">
        <f t="shared" si="4"/>
        <v>0</v>
      </c>
      <c r="P62" s="19">
        <f t="shared" si="5"/>
        <v>-6.7936507936507553</v>
      </c>
      <c r="Q62" s="20">
        <f t="shared" si="6"/>
        <v>0.9575396825396828</v>
      </c>
      <c r="R62" s="170">
        <f>Q68</f>
        <v>0.95641677426001703</v>
      </c>
      <c r="S62" s="27">
        <v>8.3333333333333329E-2</v>
      </c>
      <c r="T62" s="27">
        <v>0.12708333333333333</v>
      </c>
      <c r="U62" s="27"/>
      <c r="V62" s="21">
        <f t="shared" ref="V62:V67" si="47">(T62-S62)*24*60</f>
        <v>62.999999999999986</v>
      </c>
      <c r="W62" s="22">
        <f>T62</f>
        <v>0.12708333333333333</v>
      </c>
      <c r="X62" s="22">
        <f>S63</f>
        <v>0.14722222222222223</v>
      </c>
      <c r="Y62" s="22"/>
      <c r="Z62" s="22"/>
      <c r="AA62" s="162"/>
      <c r="AB62" s="162"/>
      <c r="AC62" s="24">
        <v>6</v>
      </c>
      <c r="AD62" s="24"/>
      <c r="AE62" s="18">
        <f t="shared" si="43"/>
        <v>-101.90476190476147</v>
      </c>
      <c r="AF62" s="20">
        <f t="shared" si="9"/>
        <v>0.95753968253968269</v>
      </c>
      <c r="AG62" s="170">
        <f>AF68</f>
        <v>0.95641677426001703</v>
      </c>
    </row>
    <row r="63" spans="1:33" ht="15.75" customHeight="1">
      <c r="A63" s="168" t="s">
        <v>75</v>
      </c>
      <c r="B63" s="4" t="s">
        <v>97</v>
      </c>
      <c r="C63" s="163" t="s">
        <v>129</v>
      </c>
      <c r="D63" s="163"/>
      <c r="E63" s="35">
        <v>24.45</v>
      </c>
      <c r="F63" s="4">
        <v>2910</v>
      </c>
      <c r="G63" s="4">
        <f t="shared" si="45"/>
        <v>71149.5</v>
      </c>
      <c r="H63" s="21" t="s">
        <v>133</v>
      </c>
      <c r="I63" s="15">
        <v>19</v>
      </c>
      <c r="J63" s="17">
        <v>2400</v>
      </c>
      <c r="K63" s="16">
        <f t="shared" si="1"/>
        <v>126.31578947368421</v>
      </c>
      <c r="L63" s="15">
        <v>19</v>
      </c>
      <c r="M63" s="17">
        <f t="shared" si="46"/>
        <v>2297.3684210526312</v>
      </c>
      <c r="N63" s="16">
        <f t="shared" si="3"/>
        <v>120.91412742382269</v>
      </c>
      <c r="O63" s="18">
        <f t="shared" si="4"/>
        <v>0</v>
      </c>
      <c r="P63" s="19">
        <f t="shared" si="5"/>
        <v>-5.401662049861514</v>
      </c>
      <c r="Q63" s="20">
        <f t="shared" si="6"/>
        <v>0.95723684210526305</v>
      </c>
      <c r="R63" s="170"/>
      <c r="S63" s="27">
        <v>0.14722222222222223</v>
      </c>
      <c r="T63" s="27">
        <v>0.2</v>
      </c>
      <c r="U63" s="4">
        <f t="shared" ref="U63:U67" si="48">(S63-T62)*24*60</f>
        <v>29.000000000000018</v>
      </c>
      <c r="V63" s="21">
        <f t="shared" si="47"/>
        <v>76.000000000000014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-102.63157894736878</v>
      </c>
      <c r="AF63" s="20">
        <f t="shared" si="9"/>
        <v>0.95723684210526305</v>
      </c>
      <c r="AG63" s="170"/>
    </row>
    <row r="64" spans="1:33" ht="15.75" customHeight="1">
      <c r="A64" s="168" t="s">
        <v>2072</v>
      </c>
      <c r="B64" s="4" t="s">
        <v>97</v>
      </c>
      <c r="C64" s="163" t="s">
        <v>106</v>
      </c>
      <c r="D64" s="163"/>
      <c r="E64" s="35">
        <v>20.21</v>
      </c>
      <c r="F64" s="4">
        <v>2905</v>
      </c>
      <c r="G64" s="4">
        <f t="shared" si="45"/>
        <v>58710.05</v>
      </c>
      <c r="H64" s="21" t="s">
        <v>133</v>
      </c>
      <c r="I64" s="15">
        <v>15</v>
      </c>
      <c r="J64" s="17">
        <v>2400</v>
      </c>
      <c r="K64" s="16">
        <f t="shared" si="1"/>
        <v>160</v>
      </c>
      <c r="L64" s="15">
        <v>15</v>
      </c>
      <c r="M64" s="17">
        <f t="shared" si="46"/>
        <v>2293.4210526315783</v>
      </c>
      <c r="N64" s="16">
        <f t="shared" si="3"/>
        <v>152.89473684210523</v>
      </c>
      <c r="O64" s="18">
        <f t="shared" si="4"/>
        <v>0</v>
      </c>
      <c r="P64" s="19">
        <f t="shared" si="5"/>
        <v>-7.1052631578947683</v>
      </c>
      <c r="Q64" s="20">
        <f t="shared" si="6"/>
        <v>0.95559210526315774</v>
      </c>
      <c r="R64" s="170"/>
      <c r="S64" s="27">
        <v>0.20416666666666669</v>
      </c>
      <c r="T64" s="27">
        <v>0.25694444444444448</v>
      </c>
      <c r="U64" s="4">
        <f t="shared" si="48"/>
        <v>6.0000000000000187</v>
      </c>
      <c r="V64" s="21">
        <f t="shared" si="47"/>
        <v>76.000000000000014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3"/>
        <v>-106.57894736842172</v>
      </c>
      <c r="AF64" s="20">
        <f t="shared" si="9"/>
        <v>0.95559210526315763</v>
      </c>
      <c r="AG64" s="170"/>
    </row>
    <row r="65" spans="1:33" ht="15.75" customHeight="1">
      <c r="A65" s="168" t="s">
        <v>2072</v>
      </c>
      <c r="B65" s="4" t="s">
        <v>97</v>
      </c>
      <c r="C65" s="163" t="s">
        <v>130</v>
      </c>
      <c r="D65" s="163"/>
      <c r="E65" s="35">
        <v>24.43</v>
      </c>
      <c r="F65" s="4">
        <v>7442</v>
      </c>
      <c r="G65" s="4">
        <f t="shared" si="45"/>
        <v>181808.06</v>
      </c>
      <c r="H65" s="21" t="s">
        <v>133</v>
      </c>
      <c r="I65" s="15">
        <v>14</v>
      </c>
      <c r="J65" s="17">
        <v>2400</v>
      </c>
      <c r="K65" s="16">
        <f t="shared" si="1"/>
        <v>171.42857142857142</v>
      </c>
      <c r="L65" s="15">
        <v>14</v>
      </c>
      <c r="M65" s="17">
        <f t="shared" si="46"/>
        <v>2289.8461538461534</v>
      </c>
      <c r="N65" s="16">
        <f t="shared" si="3"/>
        <v>163.56043956043953</v>
      </c>
      <c r="O65" s="18">
        <f t="shared" si="4"/>
        <v>0</v>
      </c>
      <c r="P65" s="19">
        <f t="shared" si="5"/>
        <v>-7.8681318681318828</v>
      </c>
      <c r="Q65" s="20">
        <f t="shared" si="6"/>
        <v>0.954102564102564</v>
      </c>
      <c r="R65" s="170"/>
      <c r="S65" s="27">
        <v>0.26180555555555557</v>
      </c>
      <c r="T65" s="27">
        <v>0.39722222222222225</v>
      </c>
      <c r="U65" s="4">
        <f t="shared" si="48"/>
        <v>6.9999999999999751</v>
      </c>
      <c r="V65" s="21">
        <f t="shared" si="47"/>
        <v>195.00000000000003</v>
      </c>
      <c r="W65" s="22"/>
      <c r="X65" s="22"/>
      <c r="Y65" s="22"/>
      <c r="Z65" s="22"/>
      <c r="AA65" s="162"/>
      <c r="AB65" s="162"/>
      <c r="AC65" s="24"/>
      <c r="AD65" s="24"/>
      <c r="AE65" s="18">
        <f t="shared" si="43"/>
        <v>-110.15384615384664</v>
      </c>
      <c r="AF65" s="20">
        <f t="shared" si="9"/>
        <v>0.95410256410256389</v>
      </c>
      <c r="AG65" s="170"/>
    </row>
    <row r="66" spans="1:33" ht="15.75" customHeight="1">
      <c r="A66" s="168" t="s">
        <v>2072</v>
      </c>
      <c r="B66" s="4" t="s">
        <v>97</v>
      </c>
      <c r="C66" s="163" t="s">
        <v>132</v>
      </c>
      <c r="D66" s="163"/>
      <c r="E66" s="35">
        <v>19.02</v>
      </c>
      <c r="F66" s="4">
        <v>4100</v>
      </c>
      <c r="G66" s="4">
        <f t="shared" si="45"/>
        <v>77982</v>
      </c>
      <c r="H66" s="21">
        <v>2</v>
      </c>
      <c r="I66" s="15">
        <v>14</v>
      </c>
      <c r="J66" s="17">
        <v>2400</v>
      </c>
      <c r="K66" s="16">
        <f t="shared" si="1"/>
        <v>171.42857142857142</v>
      </c>
      <c r="L66" s="15">
        <v>14</v>
      </c>
      <c r="M66" s="17">
        <f t="shared" si="46"/>
        <v>2299.0654205607475</v>
      </c>
      <c r="N66" s="16">
        <f t="shared" si="3"/>
        <v>164.21895861148195</v>
      </c>
      <c r="O66" s="18">
        <f t="shared" si="4"/>
        <v>0</v>
      </c>
      <c r="P66" s="19">
        <f t="shared" si="5"/>
        <v>-7.2096128170894644</v>
      </c>
      <c r="Q66" s="20">
        <f t="shared" si="6"/>
        <v>0.9579439252336448</v>
      </c>
      <c r="R66" s="170"/>
      <c r="S66" s="27">
        <v>0.40277777777777779</v>
      </c>
      <c r="T66" s="27">
        <v>0.47708333333333336</v>
      </c>
      <c r="U66" s="4">
        <f t="shared" si="48"/>
        <v>7.9999999999999716</v>
      </c>
      <c r="V66" s="21">
        <f t="shared" si="47"/>
        <v>107.00000000000001</v>
      </c>
      <c r="W66" s="22">
        <f>T66</f>
        <v>0.47708333333333336</v>
      </c>
      <c r="X66" s="22">
        <f>S67</f>
        <v>0.51597222222222217</v>
      </c>
      <c r="Y66" s="22"/>
      <c r="Z66" s="22"/>
      <c r="AA66" s="162"/>
      <c r="AB66" s="162"/>
      <c r="AC66" s="24"/>
      <c r="AD66" s="24"/>
      <c r="AE66" s="18">
        <f t="shared" si="43"/>
        <v>-100.9345794392525</v>
      </c>
      <c r="AF66" s="20">
        <f t="shared" si="9"/>
        <v>0.9579439252336448</v>
      </c>
      <c r="AG66" s="170"/>
    </row>
    <row r="67" spans="1:33" ht="15.75" customHeight="1">
      <c r="A67" s="168" t="s">
        <v>75</v>
      </c>
      <c r="B67" s="4" t="s">
        <v>97</v>
      </c>
      <c r="C67" s="163" t="s">
        <v>132</v>
      </c>
      <c r="D67" s="163"/>
      <c r="E67" s="35">
        <v>19.02</v>
      </c>
      <c r="F67" s="4">
        <v>5813</v>
      </c>
      <c r="G67" s="4">
        <f t="shared" si="45"/>
        <v>110563.26</v>
      </c>
      <c r="H67" s="21" t="s">
        <v>133</v>
      </c>
      <c r="I67" s="15">
        <v>14</v>
      </c>
      <c r="J67" s="17">
        <v>2400</v>
      </c>
      <c r="K67" s="16">
        <f t="shared" si="1"/>
        <v>171.42857142857142</v>
      </c>
      <c r="L67" s="15">
        <v>14</v>
      </c>
      <c r="M67" s="17">
        <f t="shared" si="46"/>
        <v>2294.6052631578959</v>
      </c>
      <c r="N67" s="16">
        <f t="shared" si="3"/>
        <v>163.90037593984971</v>
      </c>
      <c r="O67" s="18">
        <f t="shared" si="4"/>
        <v>0</v>
      </c>
      <c r="P67" s="19">
        <f t="shared" si="5"/>
        <v>-7.5281954887217069</v>
      </c>
      <c r="Q67" s="20">
        <f t="shared" si="6"/>
        <v>0.95608552631579002</v>
      </c>
      <c r="R67" s="170"/>
      <c r="S67" s="27">
        <v>0.51597222222222217</v>
      </c>
      <c r="T67" s="27">
        <v>0.62152777777777768</v>
      </c>
      <c r="U67" s="4">
        <f t="shared" si="48"/>
        <v>55.999999999999879</v>
      </c>
      <c r="V67" s="21">
        <f t="shared" si="47"/>
        <v>151.99999999999994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3"/>
        <v>-105.39473684210407</v>
      </c>
      <c r="AF67" s="20">
        <f t="shared" si="9"/>
        <v>0.95608552631579002</v>
      </c>
      <c r="AG67" s="170"/>
    </row>
    <row r="68" spans="1:33" ht="16.5" customHeight="1">
      <c r="A68" s="169" t="s">
        <v>75</v>
      </c>
      <c r="B68" s="35" t="s">
        <v>48</v>
      </c>
      <c r="C68" s="164"/>
      <c r="D68" s="165"/>
      <c r="E68" s="36"/>
      <c r="F68" s="16"/>
      <c r="G68" s="16"/>
      <c r="H68" s="4"/>
      <c r="I68" s="29">
        <v>15.166666666666666</v>
      </c>
      <c r="J68" s="17">
        <v>2400</v>
      </c>
      <c r="K68" s="16">
        <f t="shared" si="1"/>
        <v>158.24175824175825</v>
      </c>
      <c r="L68" s="29">
        <v>15.166666666666666</v>
      </c>
      <c r="M68" s="17">
        <f>AVERAGE(M62:M67)</f>
        <v>2295.400258224041</v>
      </c>
      <c r="N68" s="16">
        <f t="shared" si="3"/>
        <v>151.34507197081589</v>
      </c>
      <c r="O68" s="18">
        <f t="shared" si="4"/>
        <v>0</v>
      </c>
      <c r="P68" s="19">
        <f t="shared" si="5"/>
        <v>-6.8966862709423538</v>
      </c>
      <c r="Q68" s="20">
        <f t="shared" si="6"/>
        <v>0.95641677426001703</v>
      </c>
      <c r="R68" s="170"/>
      <c r="S68" s="27"/>
      <c r="T68" s="27"/>
      <c r="U68" s="16"/>
      <c r="V68" s="21"/>
      <c r="W68" s="16"/>
      <c r="X68" s="16"/>
      <c r="Y68" s="30">
        <f>SUM(Y62:Y67)</f>
        <v>0</v>
      </c>
      <c r="Z68" s="30">
        <f>SUM(Z62:Z67)</f>
        <v>0</v>
      </c>
      <c r="AA68" s="166"/>
      <c r="AB68" s="166"/>
      <c r="AC68" s="30">
        <v>6</v>
      </c>
      <c r="AD68" s="30">
        <f>SUM(AD62:AD67)</f>
        <v>0</v>
      </c>
      <c r="AE68" s="18">
        <f t="shared" si="43"/>
        <v>-104.59974177595905</v>
      </c>
      <c r="AF68" s="20">
        <f t="shared" si="9"/>
        <v>0.95641677426001703</v>
      </c>
      <c r="AG68" s="170"/>
    </row>
    <row r="69" spans="1:33">
      <c r="D69" s="41"/>
      <c r="E69" s="41"/>
    </row>
  </sheetData>
  <mergeCells count="18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A19:A24"/>
    <mergeCell ref="C19:D19"/>
    <mergeCell ref="R19:R24"/>
    <mergeCell ref="AA19:AB19"/>
    <mergeCell ref="AA24:AB24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25:A31"/>
    <mergeCell ref="C25:D25"/>
    <mergeCell ref="R25:R31"/>
    <mergeCell ref="AA25:AB25"/>
    <mergeCell ref="AG25:AG31"/>
    <mergeCell ref="C26:D26"/>
    <mergeCell ref="AA26:AB26"/>
    <mergeCell ref="C27:D27"/>
    <mergeCell ref="AA27:AB27"/>
    <mergeCell ref="C28:D28"/>
    <mergeCell ref="AG32:AG40"/>
    <mergeCell ref="C33:D33"/>
    <mergeCell ref="AA33:AB33"/>
    <mergeCell ref="C34:D34"/>
    <mergeCell ref="AA34:AB34"/>
    <mergeCell ref="C35:D35"/>
    <mergeCell ref="AA28:AB28"/>
    <mergeCell ref="C29:D29"/>
    <mergeCell ref="AA29:AB29"/>
    <mergeCell ref="C30:D30"/>
    <mergeCell ref="AA30:AB30"/>
    <mergeCell ref="C31:D31"/>
    <mergeCell ref="AA31:AB31"/>
    <mergeCell ref="AA35:AB35"/>
    <mergeCell ref="C36:D36"/>
    <mergeCell ref="AA36:AB36"/>
    <mergeCell ref="C37:D37"/>
    <mergeCell ref="AA37:AB37"/>
    <mergeCell ref="C38:D38"/>
    <mergeCell ref="AA38:AB38"/>
    <mergeCell ref="A32:A40"/>
    <mergeCell ref="C32:D32"/>
    <mergeCell ref="R32:R40"/>
    <mergeCell ref="AA32:AB32"/>
    <mergeCell ref="C39:D39"/>
    <mergeCell ref="AA39:AB39"/>
    <mergeCell ref="C40:D40"/>
    <mergeCell ref="AA40:AB40"/>
    <mergeCell ref="A41:A46"/>
    <mergeCell ref="C41:D41"/>
    <mergeCell ref="R41:R46"/>
    <mergeCell ref="AA41:AB41"/>
    <mergeCell ref="AA46:AB46"/>
    <mergeCell ref="AG47:AG55"/>
    <mergeCell ref="C48:D48"/>
    <mergeCell ref="AA48:AB48"/>
    <mergeCell ref="C49:D49"/>
    <mergeCell ref="AA49:AB49"/>
    <mergeCell ref="AA50:AB50"/>
    <mergeCell ref="AG41:AG46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C55:D55"/>
    <mergeCell ref="AA55:AB55"/>
    <mergeCell ref="A56:A61"/>
    <mergeCell ref="C56:D56"/>
    <mergeCell ref="R56:R61"/>
    <mergeCell ref="AA56:AB56"/>
    <mergeCell ref="AA61:AB61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62:A68"/>
    <mergeCell ref="C62:D62"/>
    <mergeCell ref="R62:R68"/>
    <mergeCell ref="AA62:AB62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A68:AB68"/>
  </mergeCells>
  <phoneticPr fontId="3" type="noConversion"/>
  <conditionalFormatting sqref="O5:O68">
    <cfRule type="cellIs" dxfId="202" priority="9" operator="greaterThan">
      <formula>0</formula>
    </cfRule>
  </conditionalFormatting>
  <conditionalFormatting sqref="P5:P68">
    <cfRule type="cellIs" dxfId="201" priority="1" operator="lessThan">
      <formula>0</formula>
    </cfRule>
  </conditionalFormatting>
  <conditionalFormatting sqref="Q5:Q68 AF5:AF68">
    <cfRule type="cellIs" dxfId="200" priority="10" operator="greaterThan">
      <formula>1</formula>
    </cfRule>
    <cfRule type="cellIs" dxfId="199" priority="11" operator="lessThan">
      <formula>0.8</formula>
    </cfRule>
  </conditionalFormatting>
  <conditionalFormatting sqref="R5:R10 AG5:AG10">
    <cfRule type="cellIs" dxfId="198" priority="47" operator="lessThan">
      <formula>0.8</formula>
    </cfRule>
  </conditionalFormatting>
  <conditionalFormatting sqref="AE5:AE68">
    <cfRule type="cellIs" dxfId="197" priority="12" operator="lessThan">
      <formula>0</formula>
    </cfRule>
  </conditionalFormatting>
  <conditionalFormatting sqref="AG14:AG59 R14:R68">
    <cfRule type="cellIs" dxfId="196" priority="13" operator="lessThan">
      <formula>0.8</formula>
    </cfRule>
  </conditionalFormatting>
  <dataValidations count="1">
    <dataValidation type="list" allowBlank="1" showInputMessage="1" showErrorMessage="1" sqref="AB9 AA5:AB8 AB60 AB11:AB56 AA9:AA60 AA61:AB68" xr:uid="{00000000-0002-0000-1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Q32"/>
  <sheetViews>
    <sheetView zoomScale="85" zoomScaleNormal="85" workbookViewId="0">
      <selection sqref="A1:XFD1048576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1888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1889</v>
      </c>
      <c r="C3" s="151" t="str">
        <f>TEXT('0322 4度C'!A2,"yyyy.mm.ddaaaa")</f>
        <v>2026.03.22星期日</v>
      </c>
      <c r="D3" s="152"/>
      <c r="E3" s="45" t="s">
        <v>1890</v>
      </c>
      <c r="F3" s="153">
        <f>'0322 4度C'!D1</f>
        <v>178573</v>
      </c>
      <c r="G3" s="154"/>
      <c r="H3" s="45" t="s">
        <v>1891</v>
      </c>
      <c r="I3" s="155">
        <f>'0322 4度C'!F1</f>
        <v>5846241.9100000001</v>
      </c>
      <c r="J3" s="156"/>
      <c r="K3" s="46"/>
      <c r="L3" s="47"/>
      <c r="M3" s="47"/>
      <c r="N3" s="47"/>
    </row>
    <row r="4" spans="2:17" ht="28.5" customHeight="1">
      <c r="B4" s="157" t="s">
        <v>1892</v>
      </c>
      <c r="C4" s="143" t="s">
        <v>1893</v>
      </c>
      <c r="D4" s="144"/>
      <c r="E4" s="160" t="s">
        <v>1894</v>
      </c>
      <c r="F4" s="161"/>
      <c r="G4" s="160" t="s">
        <v>1895</v>
      </c>
      <c r="H4" s="161"/>
      <c r="I4" s="160" t="s">
        <v>1896</v>
      </c>
      <c r="J4" s="161"/>
      <c r="K4" s="141" t="s">
        <v>1897</v>
      </c>
      <c r="L4" s="142"/>
      <c r="M4" s="142" t="s">
        <v>1898</v>
      </c>
      <c r="N4" s="142"/>
    </row>
    <row r="5" spans="2:17" ht="28.5" customHeight="1">
      <c r="B5" s="158"/>
      <c r="C5" s="143" t="s">
        <v>1899</v>
      </c>
      <c r="D5" s="144"/>
      <c r="E5" s="143" t="s">
        <v>1900</v>
      </c>
      <c r="F5" s="144"/>
      <c r="G5" s="145" t="s">
        <v>1901</v>
      </c>
      <c r="H5" s="146"/>
      <c r="I5" s="147" t="s">
        <v>1902</v>
      </c>
      <c r="J5" s="148"/>
      <c r="K5" s="48" t="s">
        <v>1903</v>
      </c>
      <c r="L5" s="49" t="s">
        <v>1440</v>
      </c>
      <c r="M5" s="48" t="s">
        <v>1904</v>
      </c>
      <c r="N5" s="49" t="s">
        <v>1905</v>
      </c>
    </row>
    <row r="6" spans="2:17" ht="28.5" customHeight="1">
      <c r="B6" s="158"/>
      <c r="C6" s="143" t="s">
        <v>153</v>
      </c>
      <c r="D6" s="144"/>
      <c r="E6" s="135">
        <f>AVERAGE(D13:M13)</f>
        <v>155.73998719823084</v>
      </c>
      <c r="F6" s="136">
        <f>AVERAGE(D31:O31,D13:J13)</f>
        <v>161.82635533813195</v>
      </c>
      <c r="G6" s="137">
        <f>AVERAGE(D13:J13)</f>
        <v>161.82635533813195</v>
      </c>
      <c r="H6" s="138"/>
      <c r="I6" s="137">
        <f>AVERAGE(K13:M13)</f>
        <v>141.53846153846155</v>
      </c>
      <c r="J6" s="138"/>
      <c r="K6" s="139">
        <f>'0322 4度C'!Y2</f>
        <v>0</v>
      </c>
      <c r="L6" s="124">
        <f>'0322 4度C'!Z2</f>
        <v>0</v>
      </c>
      <c r="M6" s="140">
        <f>'0322 4度C'!AC2</f>
        <v>57</v>
      </c>
      <c r="N6" s="124">
        <f>'0322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148.92999153614909</v>
      </c>
      <c r="F7" s="128">
        <f>AVERAGE(D32:O32,D14:J14)</f>
        <v>154.8180819028162</v>
      </c>
      <c r="G7" s="129">
        <f>AVERAGE(D14:J14)</f>
        <v>154.8180819028162</v>
      </c>
      <c r="H7" s="130"/>
      <c r="I7" s="129">
        <f>AVERAGE(K14:M14)</f>
        <v>135.19111401392581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0.95596716595481368</v>
      </c>
      <c r="F8" s="132">
        <f>AVERAGE(D15:J15,D33:O33)</f>
        <v>0.95628132960846357</v>
      </c>
      <c r="G8" s="133">
        <f>AVERAGE(D15:J15)</f>
        <v>0.95628132960846357</v>
      </c>
      <c r="H8" s="134"/>
      <c r="I8" s="133">
        <f>AVERAGE(K15:M15)</f>
        <v>0.95523411742963094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1070</v>
      </c>
      <c r="N9" s="47"/>
      <c r="O9" s="47"/>
      <c r="P9" s="47"/>
      <c r="Q9" s="47"/>
    </row>
    <row r="10" spans="2:17" ht="30" customHeight="1">
      <c r="B10" s="107" t="s">
        <v>1540</v>
      </c>
      <c r="C10" s="108"/>
      <c r="D10" s="109" t="s">
        <v>1906</v>
      </c>
      <c r="E10" s="110"/>
      <c r="F10" s="110"/>
      <c r="G10" s="110"/>
      <c r="H10" s="110"/>
      <c r="I10" s="110"/>
      <c r="J10" s="111"/>
      <c r="K10" s="112" t="s">
        <v>1788</v>
      </c>
      <c r="L10" s="113"/>
      <c r="M10" s="114"/>
      <c r="P10" s="53"/>
      <c r="Q10" s="53"/>
    </row>
    <row r="11" spans="2:17" ht="17.25" customHeight="1">
      <c r="B11" s="115" t="s">
        <v>1907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1791</v>
      </c>
      <c r="D13" s="61">
        <f>SUMIFS('0322 4度C'!$K:$K,'0322 4度C'!$A:$A,"新豐6線",'0322 4度C'!$B:$B,"平均")</f>
        <v>111.11111111111111</v>
      </c>
      <c r="E13" s="62">
        <f>SUMIFS('0322 4度C'!$K:$K,'0322 4度C'!$A:$A,"新豐2線",'0322 4度C'!$B:$B,"平均")</f>
        <v>84.905660377358487</v>
      </c>
      <c r="F13" s="63">
        <f>SUMIFS('0322 4度C'!$K:$K,'0322 4度C'!$A:$A,"新豐5線",'0322 4度C'!$B:$B,"平均")</f>
        <v>107.95454545454544</v>
      </c>
      <c r="G13" s="63">
        <f>SUMIFS('0322 4度C'!$K:$K,'0322 4度C'!$A:$A,"新豐7線",'0322 4度C'!$B:$B,"平均")</f>
        <v>122.22222222222221</v>
      </c>
      <c r="H13" s="63">
        <f>SUMIFS('0322 4度C'!$K:$K,'0322 4度C'!$A:$A,"新豐3線",'0322 4度C'!$B:$B,"平均")</f>
        <v>333.33333333333331</v>
      </c>
      <c r="I13" s="63">
        <f>SUMIFS('0322 4度C'!$K:$K,'0322 4度C'!$A:$A,"新豐1線",'0322 4度C'!$B:$B,"平均")</f>
        <v>104.02684563758389</v>
      </c>
      <c r="J13" s="64">
        <f>SUMIFS('0322 4度C'!$K:$K,'0322 4度C'!$A:$A,"新豐10線",'0322 4度C'!$B:$B,"平均")</f>
        <v>269.23076923076923</v>
      </c>
      <c r="K13" s="65">
        <f>SUMIFS('0322 4度C'!$K:$K,'0322 4度C'!$A:$A,"新豐8線",'0322 4度C'!$B:$B,"平均")</f>
        <v>129.23076923076923</v>
      </c>
      <c r="L13" s="66">
        <f>SUMIFS('0322 4度C'!$K:$K,'0322 4度C'!$A:$A,"新豐9線",'0322 4度C'!$B:$B,"平均")</f>
        <v>137.14285714285714</v>
      </c>
      <c r="M13" s="64">
        <f>SUMIFS('0322 4度C'!$K:$K,'0322 4度C'!$A:$A,"新豐4線",'0322 4度C'!$B:$B,"平均")</f>
        <v>158.24175824175825</v>
      </c>
    </row>
    <row r="14" spans="2:17" ht="39.6" customHeight="1">
      <c r="B14" s="120"/>
      <c r="C14" s="67" t="s">
        <v>1908</v>
      </c>
      <c r="D14" s="68">
        <f>SUMIFS('0322 4度C'!$N:$N,'0322 4度C'!$A:$A,"新豐6線",'0322 4度C'!$B:$B,"平均")</f>
        <v>105.95485463174154</v>
      </c>
      <c r="E14" s="69">
        <f>SUMIFS('0322 4度C'!$N:$N,'0322 4度C'!$A:$A,"新豐2線",'0322 4度C'!$B:$B,"平均")</f>
        <v>80.972227044708248</v>
      </c>
      <c r="F14" s="69">
        <f>SUMIFS('0322 4度C'!$N:$N,'0322 4度C'!$A:$A,"新豐5線",'0322 4度C'!$B:$B,"平均")</f>
        <v>103.26568312296169</v>
      </c>
      <c r="G14" s="69">
        <f>SUMIFS('0322 4度C'!$N:$N,'0322 4度C'!$A:$A,"新豐7線",'0322 4度C'!$B:$B,"平均")</f>
        <v>117.68041289960182</v>
      </c>
      <c r="H14" s="69">
        <f>SUMIFS('0322 4度C'!$N:$N,'0322 4度C'!$A:$A,"新豐3線",'0322 4度C'!$B:$B,"平均")</f>
        <v>318.72557996556606</v>
      </c>
      <c r="I14" s="69">
        <f>SUMIFS('0322 4度C'!$N:$N,'0322 4度C'!$A:$A,"新豐1線",'0322 4度C'!$B:$B,"平均")</f>
        <v>99.115625752480057</v>
      </c>
      <c r="J14" s="70">
        <f>SUMIFS('0322 4度C'!$N:$N,'0322 4度C'!$A:$A,"新豐10線",'0322 4度C'!$B:$B,"平均")</f>
        <v>258.01218990265414</v>
      </c>
      <c r="K14" s="71">
        <f>SUMIFS('0322 4度C'!$N:$N,'0322 4度C'!$A:$A,"新豐8線",'0322 4度C'!$B:$B,"平均")</f>
        <v>123.56879978134869</v>
      </c>
      <c r="L14" s="72">
        <f>SUMIFS('0322 4度C'!$N:$N,'0322 4度C'!$A:$A,"新豐9線",'0322 4度C'!$B:$B,"平均")</f>
        <v>131.04326389158496</v>
      </c>
      <c r="M14" s="70">
        <f>SUMIFS('0322 4度C'!$N:$N,'0322 4度C'!$A:$A,"新豐4線",'0322 4度C'!$B:$B,"平均")</f>
        <v>150.96127836884378</v>
      </c>
    </row>
    <row r="15" spans="2:17" ht="40.15" customHeight="1">
      <c r="B15" s="121"/>
      <c r="C15" s="73" t="s">
        <v>1448</v>
      </c>
      <c r="D15" s="74">
        <f t="shared" ref="D15:M15" si="0">D14/D13</f>
        <v>0.95359369168567387</v>
      </c>
      <c r="E15" s="75">
        <f t="shared" si="0"/>
        <v>0.9536728963043416</v>
      </c>
      <c r="F15" s="75">
        <f t="shared" si="0"/>
        <v>0.95656632787585583</v>
      </c>
      <c r="G15" s="75">
        <f t="shared" si="0"/>
        <v>0.9628397419058331</v>
      </c>
      <c r="H15" s="75">
        <f t="shared" si="0"/>
        <v>0.95617673989669827</v>
      </c>
      <c r="I15" s="75">
        <f t="shared" si="0"/>
        <v>0.95278891852384062</v>
      </c>
      <c r="J15" s="76">
        <f t="shared" si="0"/>
        <v>0.95833099106700115</v>
      </c>
      <c r="K15" s="74">
        <f t="shared" si="0"/>
        <v>0.95618714116519821</v>
      </c>
      <c r="L15" s="75">
        <f t="shared" si="0"/>
        <v>0.95552379920947372</v>
      </c>
      <c r="M15" s="76">
        <f t="shared" si="0"/>
        <v>0.9539914119142211</v>
      </c>
    </row>
    <row r="16" spans="2:17" ht="17.25" customHeight="1">
      <c r="B16" s="122" t="s">
        <v>1075</v>
      </c>
      <c r="C16" s="77" t="s">
        <v>1909</v>
      </c>
      <c r="D16" s="78">
        <f>VLOOKUP("新豐6線",'0322 4度C'!$A:$T,19,0)</f>
        <v>0.70833333333333337</v>
      </c>
      <c r="E16" s="79">
        <f>VLOOKUP("新豐2線",'0322 4度C'!$A:$T,19,0)</f>
        <v>0.20833333333333334</v>
      </c>
      <c r="F16" s="79">
        <f>VLOOKUP("新豐5線",'0322 4度C'!$A:$T,19,0)</f>
        <v>0.20833333333333334</v>
      </c>
      <c r="G16" s="79">
        <f>VLOOKUP("新豐7線",'0322 4度C'!$A:$T,19,0)</f>
        <v>0.20833333333333334</v>
      </c>
      <c r="H16" s="79">
        <f>VLOOKUP("新豐3線",'0322 4度C'!$A:$T,19,0)</f>
        <v>8.3333333333333329E-2</v>
      </c>
      <c r="I16" s="79">
        <f>VLOOKUP("新豐1線",'0322 4度C'!$A:$T,19,0)</f>
        <v>0.20833333333333334</v>
      </c>
      <c r="J16" s="80">
        <f>VLOOKUP("新豐10線",'0322 4度C'!$A:$T,19,0)</f>
        <v>0.20833333333333334</v>
      </c>
      <c r="K16" s="81">
        <f>VLOOKUP("新豐8線",'0322 4度C'!$A:$T,19,0)</f>
        <v>8.3333333333333329E-2</v>
      </c>
      <c r="L16" s="82">
        <f>VLOOKUP("新豐9線",'0322 4度C'!$A:$T,19,0)</f>
        <v>8.3333333333333329E-2</v>
      </c>
      <c r="M16" s="83">
        <f>VLOOKUP("新豐4線",'0322 4度C'!$A:$T,19,0)</f>
        <v>8.3333333333333329E-2</v>
      </c>
    </row>
    <row r="17" spans="2:13" ht="17.25" customHeight="1">
      <c r="B17" s="123"/>
      <c r="C17" s="77" t="s">
        <v>1076</v>
      </c>
      <c r="D17" s="81">
        <f>LOOKUP(2,1/(('0322 4度C'!$A:$A="新豐6線")*('0322 4度C'!$T:$T&lt;&gt;"")),'0322 4度C'!$T:$T)</f>
        <v>0.83749999999999991</v>
      </c>
      <c r="E17" s="79">
        <f>LOOKUP(2,1/(('0322 4度C'!$A:$A="新豐2線")*('0322 4度C'!$T:$T&lt;&gt;"")),'0322 4度C'!$T:$T)</f>
        <v>0.63749999999999996</v>
      </c>
      <c r="F17" s="79">
        <f>LOOKUP(2,1/(('0322 4度C'!$A:$A="新豐5線")*('0322 4度C'!$T:$T&lt;&gt;"")),'0322 4度C'!$T:$T)</f>
        <v>0.89097222222222228</v>
      </c>
      <c r="G17" s="79">
        <f>LOOKUP(2,1/(('0322 4度C'!$A:$A="新豐7線")*('0322 4度C'!$T:$T&lt;&gt;"")),'0322 4度C'!$T:$T)</f>
        <v>0.90277777777777779</v>
      </c>
      <c r="H17" s="79">
        <f>LOOKUP(2,1/(('0322 4度C'!$A:$A="新豐3線")*('0322 4度C'!$T:$T&lt;&gt;"")),'0322 4度C'!$T:$T)</f>
        <v>0.52013888888888882</v>
      </c>
      <c r="I17" s="79">
        <f>LOOKUP(2,1/(('0322 4度C'!$A:$A="新豐1線")*('0322 4度C'!$T:$T&lt;&gt;"")),'0322 4度C'!$T:$T)</f>
        <v>0.90902777777777777</v>
      </c>
      <c r="J17" s="80">
        <f>LOOKUP(2,1/(('0322 4度C'!$A:$A="新豐10線")*('0322 4度C'!$T:$T&lt;&gt;"")),'0322 4度C'!$T:$T)</f>
        <v>0.45208333333333334</v>
      </c>
      <c r="K17" s="78">
        <f>LOOKUP(2,1/(('0322 4度C'!$A:$A="新豐8線")*('0322 4度C'!$T:$T&lt;&gt;"")),'0322 4度C'!$T:$T)</f>
        <v>0.6743055555555556</v>
      </c>
      <c r="L17" s="79">
        <f>LOOKUP(2,1/(('0322 4度C'!$A:$A="新豐9線")*('0322 4度C'!$T:$T&lt;&gt;"")),'0322 4度C'!$T:$T)</f>
        <v>0.70972222222222214</v>
      </c>
      <c r="M17" s="80">
        <f>LOOKUP(2,1/(('0322 4度C'!$A:$A="新豐4線")*('0322 4度C'!$T:$T&lt;&gt;"")),'0322 4度C'!$T:$T)</f>
        <v>0.65763888888888888</v>
      </c>
    </row>
    <row r="18" spans="2:13" ht="17.25" customHeight="1">
      <c r="B18" s="101" t="s">
        <v>1910</v>
      </c>
      <c r="C18" s="84" t="s">
        <v>1911</v>
      </c>
      <c r="D18" s="85">
        <f>SUMIFS('0322 4度C'!$Y:$Y,'0322 4度C'!$A:$A,"新豐6線",'0322 4度C'!$B:$B,"平均")</f>
        <v>0</v>
      </c>
      <c r="E18" s="86">
        <f>SUMIFS('0322 4度C'!$Y:$Y,'0322 4度C'!$A:$A,"新豐2線",'0322 4度C'!$B:$B,"平均")</f>
        <v>0</v>
      </c>
      <c r="F18" s="86">
        <f>SUMIFS('0322 4度C'!$Y:$Y,'0322 4度C'!$A:$A,"新豐5線",'0322 4度C'!$B:$B,"平均")</f>
        <v>0</v>
      </c>
      <c r="G18" s="86">
        <f>SUMIFS('0322 4度C'!$Y:$Y,'0322 4度C'!$A:$A,"新豐7線",'0322 4度C'!$B:$B,"平均")</f>
        <v>0</v>
      </c>
      <c r="H18" s="86">
        <f>SUMIFS('0322 4度C'!$Y:$Y,'0322 4度C'!$A:$A,"新豐3線",'0322 4度C'!$B:$B,"平均")</f>
        <v>0</v>
      </c>
      <c r="I18" s="86">
        <f>SUMIFS('0322 4度C'!$Y:$Y,'0322 4度C'!$A:$A,"新豐1線",'0322 4度C'!$B:$B,"平均")</f>
        <v>0</v>
      </c>
      <c r="J18" s="87">
        <f>SUMIFS('0322 4度C'!$Y:$Y,'0322 4度C'!$A:$A,"新豐10線",'0322 4度C'!$B:$B,"平均")</f>
        <v>0</v>
      </c>
      <c r="K18" s="88">
        <f>SUMIFS('0322 4度C'!$Y:$Y,'0322 4度C'!$A:$A,"新豐8線",'0322 4度C'!$B:$B,"平均")</f>
        <v>0</v>
      </c>
      <c r="L18" s="86">
        <f>SUMIFS('0322 4度C'!$Y:$Y,'0322 4度C'!$A:$A,"新豐9線",'0322 4度C'!$B:$B,"平均")</f>
        <v>0</v>
      </c>
      <c r="M18" s="87">
        <f>SUMIFS('0322 4度C'!$Y:$Y,'0322 4度C'!$A:$A,"新豐4線",'0322 4度C'!$B:$B,"平均")</f>
        <v>0</v>
      </c>
    </row>
    <row r="19" spans="2:13" ht="17.25" customHeight="1">
      <c r="B19" s="102"/>
      <c r="C19" s="84" t="s">
        <v>1912</v>
      </c>
      <c r="D19" s="85">
        <f>SUMIFS('0322 4度C'!$Z:$Z,'0322 4度C'!$A:$A,"新豐6線",'0322 4度C'!$B:$B,"平均")</f>
        <v>0</v>
      </c>
      <c r="E19" s="86">
        <f>SUMIFS('0322 4度C'!$Z:$Z,'0322 4度C'!$A:$A,"新豐2線",'0322 4度C'!$B:$B,"平均")</f>
        <v>0</v>
      </c>
      <c r="F19" s="86">
        <f>SUMIFS('0322 4度C'!$Z:$Z,'0322 4度C'!$A:$A,"新豐5線",'0322 4度C'!$B:$B,"平均")</f>
        <v>0</v>
      </c>
      <c r="G19" s="86">
        <f>SUMIFS('0322 4度C'!$Z:$Z,'0322 4度C'!$A:$A,"新豐7線",'0322 4度C'!$B:$B,"平均")</f>
        <v>0</v>
      </c>
      <c r="H19" s="86">
        <f>SUMIFS('0322 4度C'!$Z:$Z,'0322 4度C'!$A:$A,"新豐3線",'0322 4度C'!$B:$B,"平均")</f>
        <v>0</v>
      </c>
      <c r="I19" s="86">
        <f>SUMIFS('0322 4度C'!$Z:$Z,'0322 4度C'!$A:$A,"新豐1線",'0322 4度C'!$B:$B,"平均")</f>
        <v>0</v>
      </c>
      <c r="J19" s="87">
        <f>SUMIFS('0322 4度C'!$Z:$Z,'0322 4度C'!$A:$A,"新豐10線",'0322 4度C'!$B:$B,"平均")</f>
        <v>0</v>
      </c>
      <c r="K19" s="88">
        <f>SUMIFS('0322 4度C'!$Z:$Z,'0322 4度C'!$A:$A,"新豐8線",'0322 4度C'!$B:$B,"平均")</f>
        <v>0</v>
      </c>
      <c r="L19" s="86">
        <f>SUMIFS('0322 4度C'!$Z:$Z,'0322 4度C'!$A:$A,"新豐9線",'0322 4度C'!$B:$B,"平均")</f>
        <v>0</v>
      </c>
      <c r="M19" s="87">
        <f>SUMIFS('0322 4度C'!$Z:$Z,'0322 4度C'!$A:$A,"新豐4線",'0322 4度C'!$B:$B,"平均")</f>
        <v>0</v>
      </c>
    </row>
    <row r="20" spans="2:13" ht="17.25" customHeight="1">
      <c r="B20" s="101" t="s">
        <v>1913</v>
      </c>
      <c r="C20" s="84" t="s">
        <v>1911</v>
      </c>
      <c r="D20" s="85">
        <f>SUMIFS('0322 4度C'!$AC:$AC,'0322 4度C'!$A:$A,"新豐6線",'0322 4度C'!$B:$B,"平均")</f>
        <v>4</v>
      </c>
      <c r="E20" s="86">
        <f>SUMIFS('0322 4度C'!$AC:$AC,'0322 4度C'!$A:$A,"新豐2線",'0322 4度C'!$B:$B,"平均")</f>
        <v>3</v>
      </c>
      <c r="F20" s="86">
        <f>SUMIFS('0322 4度C'!$AC:$AC,'0322 4度C'!$A:$A,"新豐5線",'0322 4度C'!$B:$B,"平均")</f>
        <v>5</v>
      </c>
      <c r="G20" s="86">
        <f>SUMIFS('0322 4度C'!$AC:$AC,'0322 4度C'!$A:$A,"新豐7線",'0322 4度C'!$B:$B,"平均")</f>
        <v>6</v>
      </c>
      <c r="H20" s="86">
        <f>SUMIFS('0322 4度C'!$AC:$AC,'0322 4度C'!$A:$A,"新豐3線",'0322 4度C'!$B:$B,"平均")</f>
        <v>5</v>
      </c>
      <c r="I20" s="86">
        <f>SUMIFS('0322 4度C'!$AC:$AC,'0322 4度C'!$A:$A,"新豐1線",'0322 4度C'!$B:$B,"平均")</f>
        <v>8</v>
      </c>
      <c r="J20" s="87">
        <f>SUMIFS('0322 4度C'!$AC:$AC,'0322 4度C'!$A:$A,"新豐10線",'0322 4度C'!$B:$B,"平均")</f>
        <v>5</v>
      </c>
      <c r="K20" s="88">
        <f>SUMIFS('0322 4度C'!$AC:$AC,'0322 4度C'!$A:$A,"新豐8線",'0322 4度C'!$B:$B,"平均")</f>
        <v>7</v>
      </c>
      <c r="L20" s="86">
        <f>SUMIFS('0322 4度C'!$AC:$AC,'0322 4度C'!$A:$A,"新豐9線",'0322 4度C'!$B:$B,"平均")</f>
        <v>8</v>
      </c>
      <c r="M20" s="87">
        <f>SUMIFS('0322 4度C'!$AC:$AC,'0322 4度C'!$A:$A,"新豐4線",'0322 4度C'!$B:$B,"平均")</f>
        <v>6</v>
      </c>
    </row>
    <row r="21" spans="2:13" ht="17.25" customHeight="1">
      <c r="B21" s="102"/>
      <c r="C21" s="84" t="s">
        <v>1914</v>
      </c>
      <c r="D21" s="85">
        <f>SUMIFS('0322 4度C'!$AD:$AD,'0322 4度C'!$A:$A,"新豐6線",'0322 4度C'!$B:$B,"平均")</f>
        <v>0</v>
      </c>
      <c r="E21" s="86">
        <f>SUMIFS('0322 4度C'!$AD:$AD,'0322 4度C'!$A:$A,"新豐2線",'0322 4度C'!$B:$B,"平均")</f>
        <v>0</v>
      </c>
      <c r="F21" s="86">
        <f>SUMIFS('0322 4度C'!$AD:$AD,'0322 4度C'!$A:$A,"新豐5線",'0322 4度C'!$B:$B,"平均")</f>
        <v>0</v>
      </c>
      <c r="G21" s="86">
        <f>SUMIFS('0322 4度C'!$AD:$AD,'0322 4度C'!$A:$A,"新豐7線",'0322 4度C'!$B:$B,"平均")</f>
        <v>0</v>
      </c>
      <c r="H21" s="86">
        <f>SUMIFS('0322 4度C'!$AD:$AD,'0322 4度C'!$A:$A,"新豐3線",'0322 4度C'!$B:$B,"平均")</f>
        <v>0</v>
      </c>
      <c r="I21" s="86">
        <f>SUMIFS('0322 4度C'!$AD:$AD,'0322 4度C'!$A:$A,"新豐1線",'0322 4度C'!$B:$B,"平均")</f>
        <v>0</v>
      </c>
      <c r="J21" s="87">
        <f>SUMIFS('0322 4度C'!$AD:$AD,'0322 4度C'!$A:$A,"新豐10線",'0322 4度C'!$B:$B,"平均")</f>
        <v>0</v>
      </c>
      <c r="K21" s="88">
        <f>SUMIFS('0322 4度C'!$AD:$AD,'0322 4度C'!$A:$A,"新豐8線",'0322 4度C'!$B:$B,"平均")</f>
        <v>0</v>
      </c>
      <c r="L21" s="86">
        <f>SUMIFS('0322 4度C'!$AD:$AD,'0322 4度C'!$A:$A,"新豐9線",'0322 4度C'!$B:$B,"平均")</f>
        <v>0</v>
      </c>
      <c r="M21" s="87">
        <f>SUMIFS('0322 4度C'!$AD:$AD,'0322 4度C'!$A:$A,"新豐4線",'0322 4度C'!$B:$B,"平均")</f>
        <v>0</v>
      </c>
    </row>
    <row r="22" spans="2:13" ht="17.25" customHeight="1">
      <c r="B22" s="103" t="s">
        <v>1453</v>
      </c>
      <c r="C22" s="104"/>
      <c r="D22" s="89">
        <f>SUMIFS('0322 4度C'!$I:$I,'0322 4度C'!$A:$A,"新豐6線",'0322 4度C'!$B:$B,"平均")</f>
        <v>18</v>
      </c>
      <c r="E22" s="90">
        <f>SUMIFS('0322 4度C'!$I:$I,'0322 4度C'!$A:$A,"新豐2線",'0322 4度C'!$B:$B,"平均")</f>
        <v>17.666666666666668</v>
      </c>
      <c r="F22" s="90">
        <f>SUMIFS('0322 4度C'!$I:$I,'0322 4度C'!$A:$A,"新豐5線",'0322 4度C'!$B:$B,"平均")</f>
        <v>17.600000000000001</v>
      </c>
      <c r="G22" s="90">
        <f>SUMIFS('0322 4度C'!$I:$I,'0322 4度C'!$A:$A,"新豐7線",'0322 4度C'!$B:$B,"平均")</f>
        <v>15</v>
      </c>
      <c r="H22" s="90">
        <f>SUMIFS('0322 4度C'!$I:$I,'0322 4度C'!$A:$A,"新豐3線",'0322 4度C'!$B:$B,"平均")</f>
        <v>9</v>
      </c>
      <c r="I22" s="90">
        <f>SUMIFS('0322 4度C'!$I:$I,'0322 4度C'!$A:$A,"新豐1線",'0322 4度C'!$B:$B,"平均")</f>
        <v>18.625</v>
      </c>
      <c r="J22" s="91">
        <f>SUMIFS('0322 4度C'!$I:$I,'0322 4度C'!$A:$A,"新豐10線",'0322 4度C'!$B:$B,"平均")</f>
        <v>10.4</v>
      </c>
      <c r="K22" s="89">
        <f>SUMIFS('0322 4度C'!$I:$I,'0322 4度C'!$A:$A,"新豐8線",'0322 4度C'!$B:$B,"平均")</f>
        <v>18.571428571428573</v>
      </c>
      <c r="L22" s="90">
        <f>SUMIFS('0322 4度C'!$I:$I,'0322 4度C'!$A:$A,"新豐9線",'0322 4度C'!$B:$B,"平均")</f>
        <v>17.5</v>
      </c>
      <c r="M22" s="91">
        <f>SUMIFS('0322 4度C'!$I:$I,'0322 4度C'!$A:$A,"新豐4線",'0322 4度C'!$B:$B,"平均")</f>
        <v>15.166666666666666</v>
      </c>
    </row>
    <row r="23" spans="2:13" ht="17.25" customHeight="1">
      <c r="B23" s="103" t="s">
        <v>1082</v>
      </c>
      <c r="C23" s="104"/>
      <c r="D23" s="92" t="s">
        <v>185</v>
      </c>
      <c r="E23" s="93" t="s">
        <v>186</v>
      </c>
      <c r="F23" s="93" t="s">
        <v>1804</v>
      </c>
      <c r="G23" s="93" t="s">
        <v>1804</v>
      </c>
      <c r="H23" s="93" t="s">
        <v>188</v>
      </c>
      <c r="I23" s="93" t="s">
        <v>185</v>
      </c>
      <c r="J23" s="94" t="s">
        <v>188</v>
      </c>
      <c r="K23" s="92" t="s">
        <v>1086</v>
      </c>
      <c r="L23" s="93" t="s">
        <v>1086</v>
      </c>
      <c r="M23" s="94" t="s">
        <v>1085</v>
      </c>
    </row>
    <row r="24" spans="2:13" ht="17.25" customHeight="1">
      <c r="B24" s="103" t="s">
        <v>1915</v>
      </c>
      <c r="C24" s="104"/>
      <c r="D24" s="92"/>
      <c r="E24" s="93"/>
      <c r="F24" s="93" t="s">
        <v>1807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1916</v>
      </c>
      <c r="C25" s="106"/>
      <c r="D25" s="95"/>
      <c r="E25" s="96" t="s">
        <v>1917</v>
      </c>
      <c r="F25" s="99" t="s">
        <v>1918</v>
      </c>
      <c r="G25" s="100"/>
      <c r="H25" s="96" t="s">
        <v>1811</v>
      </c>
      <c r="I25" s="96" t="s">
        <v>1919</v>
      </c>
      <c r="J25" s="97" t="s">
        <v>1920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9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G72"/>
  <sheetViews>
    <sheetView zoomScale="80" zoomScaleNormal="80" workbookViewId="0">
      <pane ySplit="4" topLeftCell="A5" activePane="bottomLeft" state="frozen"/>
      <selection sqref="A1:XFD1048576"/>
      <selection pane="bottomLeft" activeCell="F3" sqref="F3:F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1921</v>
      </c>
      <c r="B1" s="1"/>
      <c r="C1" s="2" t="s">
        <v>1922</v>
      </c>
      <c r="D1" s="3">
        <f>SUM(F5:F71)</f>
        <v>178573</v>
      </c>
      <c r="E1" s="4" t="s">
        <v>1923</v>
      </c>
      <c r="F1" s="1">
        <f>SUM(G5:G71)</f>
        <v>5846241.9100000001</v>
      </c>
      <c r="G1" s="1" t="s">
        <v>1924</v>
      </c>
      <c r="H1" s="5">
        <f>L9+L13+L49+L58+L19+L64+L34+L43+L26+L71</f>
        <v>157.5297619047619</v>
      </c>
      <c r="I1" s="212" t="s">
        <v>1925</v>
      </c>
      <c r="J1" s="212"/>
      <c r="K1" s="212"/>
      <c r="L1" s="212" t="s">
        <v>1926</v>
      </c>
      <c r="M1" s="212"/>
      <c r="N1" s="212"/>
      <c r="O1" s="212" t="s">
        <v>1927</v>
      </c>
      <c r="P1" s="212"/>
      <c r="Q1" s="212"/>
      <c r="R1" s="212"/>
      <c r="S1" s="212" t="s">
        <v>1928</v>
      </c>
      <c r="T1" s="212"/>
      <c r="U1" s="212"/>
      <c r="V1" s="212"/>
      <c r="W1" s="212"/>
      <c r="X1" s="212"/>
      <c r="Y1" s="6" t="s">
        <v>1929</v>
      </c>
      <c r="Z1" s="7" t="s">
        <v>1930</v>
      </c>
      <c r="AA1" s="213" t="s">
        <v>1931</v>
      </c>
      <c r="AB1" s="213"/>
      <c r="AC1" s="42" t="s">
        <v>1929</v>
      </c>
      <c r="AD1" s="7" t="s">
        <v>1932</v>
      </c>
      <c r="AE1" s="212" t="s">
        <v>1933</v>
      </c>
      <c r="AF1" s="214"/>
      <c r="AG1" s="214"/>
    </row>
    <row r="2" spans="1:33" ht="26.25" customHeight="1">
      <c r="A2" s="33">
        <v>46103</v>
      </c>
      <c r="B2" s="34" t="s">
        <v>77</v>
      </c>
      <c r="C2" s="2" t="s">
        <v>1934</v>
      </c>
      <c r="D2" s="9">
        <f>AVERAGE(N9,N13,N49,N58,N19,N64,N26,N34,N43,N71)</f>
        <v>148.92999153614909</v>
      </c>
      <c r="E2" s="10" t="s">
        <v>14</v>
      </c>
      <c r="F2" s="11">
        <f>F1/D1</f>
        <v>32.73866659573396</v>
      </c>
      <c r="G2" s="1" t="s">
        <v>1935</v>
      </c>
      <c r="H2" s="12">
        <f>COUNT(H5:H71)</f>
        <v>10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SUM(Y9+Y13+Y19+Y26+Y34+Y43+Y49+Y58+Y64+Y71)</f>
        <v>0</v>
      </c>
      <c r="Z2" s="13">
        <f>SUM(Z9+Z13+Z19+Z26+Z34+Z43+Z49+Z58+Z64+Z71)</f>
        <v>0</v>
      </c>
      <c r="AA2" s="213"/>
      <c r="AB2" s="213"/>
      <c r="AC2" s="13">
        <v>57</v>
      </c>
      <c r="AD2" s="13">
        <f>SUM(AD9+AD13+AD19+AD26+AD34+AD43+AD49+AD58+AD64+AD71)</f>
        <v>0</v>
      </c>
      <c r="AE2" s="214"/>
      <c r="AF2" s="214"/>
      <c r="AG2" s="214"/>
    </row>
    <row r="3" spans="1:33" ht="40.5" customHeight="1">
      <c r="A3" s="162" t="s">
        <v>1936</v>
      </c>
      <c r="B3" s="162" t="s">
        <v>1937</v>
      </c>
      <c r="C3" s="162" t="s">
        <v>1938</v>
      </c>
      <c r="D3" s="162"/>
      <c r="E3" s="210" t="s">
        <v>1939</v>
      </c>
      <c r="F3" s="162" t="s">
        <v>1940</v>
      </c>
      <c r="G3" s="210" t="s">
        <v>1941</v>
      </c>
      <c r="H3" s="204" t="s">
        <v>1942</v>
      </c>
      <c r="I3" s="202" t="s">
        <v>1943</v>
      </c>
      <c r="J3" s="199" t="s">
        <v>1944</v>
      </c>
      <c r="K3" s="209" t="s">
        <v>1934</v>
      </c>
      <c r="L3" s="202" t="s">
        <v>1943</v>
      </c>
      <c r="M3" s="199" t="s">
        <v>1944</v>
      </c>
      <c r="N3" s="209" t="s">
        <v>1934</v>
      </c>
      <c r="O3" s="202" t="s">
        <v>1943</v>
      </c>
      <c r="P3" s="209" t="s">
        <v>1934</v>
      </c>
      <c r="Q3" s="200" t="s">
        <v>1108</v>
      </c>
      <c r="R3" s="178" t="s">
        <v>677</v>
      </c>
      <c r="S3" s="162" t="s">
        <v>27</v>
      </c>
      <c r="T3" s="162"/>
      <c r="U3" s="204" t="s">
        <v>28</v>
      </c>
      <c r="V3" s="204" t="s">
        <v>1945</v>
      </c>
      <c r="W3" s="162" t="s">
        <v>1946</v>
      </c>
      <c r="X3" s="162"/>
      <c r="Y3" s="205" t="s">
        <v>1947</v>
      </c>
      <c r="Z3" s="166"/>
      <c r="AA3" s="206" t="s">
        <v>1948</v>
      </c>
      <c r="AB3" s="207"/>
      <c r="AC3" s="205" t="s">
        <v>1949</v>
      </c>
      <c r="AD3" s="166"/>
      <c r="AE3" s="199" t="s">
        <v>1950</v>
      </c>
      <c r="AF3" s="200" t="s">
        <v>1951</v>
      </c>
      <c r="AG3" s="178" t="s">
        <v>1952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1953</v>
      </c>
      <c r="X4" s="4" t="s">
        <v>1954</v>
      </c>
      <c r="Y4" s="14" t="s">
        <v>1955</v>
      </c>
      <c r="Z4" s="14" t="s">
        <v>1956</v>
      </c>
      <c r="AA4" s="208"/>
      <c r="AB4" s="207"/>
      <c r="AC4" s="14" t="s">
        <v>1957</v>
      </c>
      <c r="AD4" s="14" t="s">
        <v>1958</v>
      </c>
      <c r="AE4" s="199"/>
      <c r="AF4" s="200"/>
      <c r="AG4" s="178"/>
    </row>
    <row r="5" spans="1:33">
      <c r="A5" s="201" t="s">
        <v>1959</v>
      </c>
      <c r="B5" s="35" t="s">
        <v>78</v>
      </c>
      <c r="C5" s="203" t="s">
        <v>79</v>
      </c>
      <c r="D5" s="203"/>
      <c r="E5" s="35">
        <v>50.67</v>
      </c>
      <c r="F5" s="4">
        <v>1707</v>
      </c>
      <c r="G5" s="4">
        <f t="shared" ref="G5:G8" si="0">E5*F5</f>
        <v>86493.69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8" si="2">F5/V5*60</f>
        <v>1932.4528301886801</v>
      </c>
      <c r="N5" s="16">
        <f t="shared" ref="N5:N68" si="3">M5/L5</f>
        <v>113.67369589345176</v>
      </c>
      <c r="O5" s="18">
        <f t="shared" ref="O5:O68" si="4">L5-I5</f>
        <v>0</v>
      </c>
      <c r="P5" s="19">
        <f t="shared" ref="P5:P68" si="5">N5-K5</f>
        <v>-3.9733629300776414</v>
      </c>
      <c r="Q5" s="20">
        <f t="shared" ref="Q5:Q68" si="6">N5/K5</f>
        <v>0.96622641509434004</v>
      </c>
      <c r="R5" s="170">
        <f>Q9</f>
        <v>0.95359369168567387</v>
      </c>
      <c r="S5" s="27">
        <v>0.70833333333333337</v>
      </c>
      <c r="T5" s="27">
        <v>0.74513888888888891</v>
      </c>
      <c r="U5" s="4"/>
      <c r="V5" s="21">
        <f t="shared" ref="V5:V8" si="7">(T5-S5)*24*60</f>
        <v>52.999999999999972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7" si="8">M5-J5</f>
        <v>-67.547169811319918</v>
      </c>
      <c r="AF5" s="20">
        <f t="shared" ref="AF5:AF68" si="9">M5/J5</f>
        <v>0.96622641509434004</v>
      </c>
      <c r="AG5" s="170">
        <f>AF9</f>
        <v>0.95359369168567387</v>
      </c>
    </row>
    <row r="6" spans="1:33">
      <c r="A6" s="202" t="s">
        <v>1959</v>
      </c>
      <c r="B6" s="35" t="s">
        <v>78</v>
      </c>
      <c r="C6" s="203" t="s">
        <v>80</v>
      </c>
      <c r="D6" s="203"/>
      <c r="E6" s="35">
        <v>54.09</v>
      </c>
      <c r="F6" s="4">
        <v>1342</v>
      </c>
      <c r="G6" s="4">
        <f t="shared" si="0"/>
        <v>72588.78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1917.1428571428564</v>
      </c>
      <c r="N6" s="16">
        <f t="shared" si="3"/>
        <v>100.9022556390977</v>
      </c>
      <c r="O6" s="18">
        <f t="shared" si="4"/>
        <v>0</v>
      </c>
      <c r="P6" s="19">
        <f t="shared" si="5"/>
        <v>-4.3609022556391324</v>
      </c>
      <c r="Q6" s="20">
        <f t="shared" si="6"/>
        <v>0.95857142857142819</v>
      </c>
      <c r="R6" s="170"/>
      <c r="S6" s="27">
        <v>0.74930555555555556</v>
      </c>
      <c r="T6" s="27">
        <v>0.77847222222222223</v>
      </c>
      <c r="U6" s="4">
        <f t="shared" ref="U6:U8" si="10">IF(S6=TIME(17,0,0),"",(S6-T5)*24*60)</f>
        <v>5.9999999999999787</v>
      </c>
      <c r="V6" s="21">
        <f t="shared" si="7"/>
        <v>42.000000000000014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-82.857142857143572</v>
      </c>
      <c r="AF6" s="20">
        <f t="shared" si="9"/>
        <v>0.95857142857142819</v>
      </c>
      <c r="AG6" s="170"/>
    </row>
    <row r="7" spans="1:33">
      <c r="A7" s="202" t="s">
        <v>1959</v>
      </c>
      <c r="B7" s="35" t="s">
        <v>78</v>
      </c>
      <c r="C7" s="197" t="s">
        <v>82</v>
      </c>
      <c r="D7" s="198"/>
      <c r="E7" s="35">
        <v>50.67</v>
      </c>
      <c r="F7" s="4">
        <v>400</v>
      </c>
      <c r="G7" s="4">
        <f t="shared" si="0"/>
        <v>20268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1846.1538461538528</v>
      </c>
      <c r="N7" s="16">
        <f t="shared" si="3"/>
        <v>87.912087912088225</v>
      </c>
      <c r="O7" s="18">
        <f t="shared" si="4"/>
        <v>0</v>
      </c>
      <c r="P7" s="19">
        <f t="shared" si="5"/>
        <v>-7.3260073260070158</v>
      </c>
      <c r="Q7" s="20">
        <f t="shared" si="6"/>
        <v>0.92307692307692635</v>
      </c>
      <c r="R7" s="170"/>
      <c r="S7" s="27">
        <v>0.78263888888888888</v>
      </c>
      <c r="T7" s="27">
        <v>0.79166666666666663</v>
      </c>
      <c r="U7" s="4">
        <f t="shared" si="10"/>
        <v>5.9999999999999787</v>
      </c>
      <c r="V7" s="21">
        <f t="shared" si="7"/>
        <v>12.999999999999954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-153.84615384614722</v>
      </c>
      <c r="AF7" s="20">
        <f t="shared" si="9"/>
        <v>0.92307692307692635</v>
      </c>
      <c r="AG7" s="170"/>
    </row>
    <row r="8" spans="1:33">
      <c r="A8" s="202" t="s">
        <v>1959</v>
      </c>
      <c r="B8" s="35" t="s">
        <v>78</v>
      </c>
      <c r="C8" s="197" t="s">
        <v>91</v>
      </c>
      <c r="D8" s="198"/>
      <c r="E8" s="35">
        <v>50.67</v>
      </c>
      <c r="F8" s="4">
        <v>1933</v>
      </c>
      <c r="G8" s="4">
        <f t="shared" si="0"/>
        <v>97945.11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1933.0000000000018</v>
      </c>
      <c r="N8" s="16">
        <f t="shared" si="3"/>
        <v>128.86666666666679</v>
      </c>
      <c r="O8" s="18">
        <f t="shared" si="4"/>
        <v>0</v>
      </c>
      <c r="P8" s="19">
        <f t="shared" si="5"/>
        <v>-4.4666666666665549</v>
      </c>
      <c r="Q8" s="20">
        <f t="shared" si="6"/>
        <v>0.9665000000000008</v>
      </c>
      <c r="R8" s="170"/>
      <c r="S8" s="27">
        <v>0.79583333333333328</v>
      </c>
      <c r="T8" s="27">
        <v>0.83749999999999991</v>
      </c>
      <c r="U8" s="4">
        <f t="shared" si="10"/>
        <v>5.9999999999999787</v>
      </c>
      <c r="V8" s="21">
        <f t="shared" si="7"/>
        <v>59.999999999999943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-66.999999999998181</v>
      </c>
      <c r="AF8" s="20">
        <f t="shared" si="9"/>
        <v>0.96650000000000091</v>
      </c>
      <c r="AG8" s="170"/>
    </row>
    <row r="9" spans="1:33">
      <c r="A9" s="202" t="s">
        <v>1959</v>
      </c>
      <c r="B9" s="35" t="s">
        <v>1960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1907.1873833713478</v>
      </c>
      <c r="N9" s="16">
        <f t="shared" si="3"/>
        <v>105.95485463174154</v>
      </c>
      <c r="O9" s="18">
        <f t="shared" si="4"/>
        <v>0</v>
      </c>
      <c r="P9" s="19">
        <f t="shared" si="5"/>
        <v>-5.1562564793695742</v>
      </c>
      <c r="Q9" s="20">
        <f t="shared" si="6"/>
        <v>0.95359369168567387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-92.812616628652222</v>
      </c>
      <c r="AF9" s="20">
        <f t="shared" si="9"/>
        <v>0.95359369168567387</v>
      </c>
      <c r="AG9" s="170"/>
    </row>
    <row r="10" spans="1:33" ht="15.75" customHeight="1">
      <c r="A10" s="196" t="s">
        <v>1961</v>
      </c>
      <c r="B10" s="35" t="s">
        <v>84</v>
      </c>
      <c r="C10" s="197" t="s">
        <v>85</v>
      </c>
      <c r="D10" s="198"/>
      <c r="E10" s="35">
        <v>39.619999999999997</v>
      </c>
      <c r="F10" s="4">
        <v>5066</v>
      </c>
      <c r="G10" s="4">
        <f t="shared" ref="G10:G12" si="11">E10*F10</f>
        <v>200714.91999999998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2" si="12">F10/V10*60</f>
        <v>1427.0422535211269</v>
      </c>
      <c r="N10" s="16">
        <f t="shared" si="3"/>
        <v>75.107487027427737</v>
      </c>
      <c r="O10" s="18">
        <f t="shared" si="4"/>
        <v>0</v>
      </c>
      <c r="P10" s="19">
        <f t="shared" si="5"/>
        <v>-3.8398813936248928</v>
      </c>
      <c r="Q10" s="20">
        <f t="shared" si="6"/>
        <v>0.95136150234741801</v>
      </c>
      <c r="R10" s="170">
        <f>Q13</f>
        <v>0.9536728963043416</v>
      </c>
      <c r="S10" s="27">
        <v>0.20833333333333334</v>
      </c>
      <c r="T10" s="27">
        <v>0.35625000000000001</v>
      </c>
      <c r="U10" s="4"/>
      <c r="V10" s="21">
        <f t="shared" ref="V10:V12" si="13">(T10-S10)*24*60</f>
        <v>213</v>
      </c>
      <c r="W10" s="22"/>
      <c r="X10" s="22"/>
      <c r="Y10" s="22"/>
      <c r="Z10" s="22"/>
      <c r="AA10" s="162"/>
      <c r="AB10" s="162"/>
      <c r="AC10" s="24">
        <v>3</v>
      </c>
      <c r="AD10" s="24"/>
      <c r="AE10" s="18">
        <f t="shared" si="8"/>
        <v>-72.957746478873105</v>
      </c>
      <c r="AF10" s="20">
        <f t="shared" si="9"/>
        <v>0.9513615023474179</v>
      </c>
      <c r="AG10" s="170">
        <f>AF13</f>
        <v>0.95367289630434171</v>
      </c>
    </row>
    <row r="11" spans="1:33" ht="15.75" customHeight="1">
      <c r="A11" s="196" t="s">
        <v>1961</v>
      </c>
      <c r="B11" s="35" t="s">
        <v>84</v>
      </c>
      <c r="C11" s="197" t="s">
        <v>86</v>
      </c>
      <c r="D11" s="198"/>
      <c r="E11" s="35">
        <v>39.799999999999997</v>
      </c>
      <c r="F11" s="4">
        <v>4700</v>
      </c>
      <c r="G11" s="4">
        <f t="shared" si="11"/>
        <v>187060</v>
      </c>
      <c r="H11" s="21">
        <v>2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1431.4720812182738</v>
      </c>
      <c r="N11" s="16">
        <f t="shared" si="3"/>
        <v>84.204240071663165</v>
      </c>
      <c r="O11" s="18">
        <f t="shared" si="4"/>
        <v>0</v>
      </c>
      <c r="P11" s="19">
        <f t="shared" si="5"/>
        <v>-4.0310540459838933</v>
      </c>
      <c r="Q11" s="20">
        <f t="shared" si="6"/>
        <v>0.95431472081218249</v>
      </c>
      <c r="R11" s="170"/>
      <c r="S11" s="27">
        <v>0.36041666666666666</v>
      </c>
      <c r="T11" s="27">
        <v>0.49722222222222223</v>
      </c>
      <c r="U11" s="4">
        <f t="shared" ref="U11:U12" si="14">IF(S11=TIME(17,0,0),"",(S11-T10)*24*60)</f>
        <v>5.9999999999999787</v>
      </c>
      <c r="V11" s="21">
        <f t="shared" si="13"/>
        <v>197.00000000000003</v>
      </c>
      <c r="W11" s="22">
        <f>T11</f>
        <v>0.49722222222222223</v>
      </c>
      <c r="X11" s="22">
        <f>S12</f>
        <v>0.53611111111111109</v>
      </c>
      <c r="Y11" s="22"/>
      <c r="Z11" s="22"/>
      <c r="AA11" s="162"/>
      <c r="AB11" s="162"/>
      <c r="AC11" s="24"/>
      <c r="AD11" s="24"/>
      <c r="AE11" s="18">
        <f t="shared" si="8"/>
        <v>-68.527918781726157</v>
      </c>
      <c r="AF11" s="20">
        <f t="shared" si="9"/>
        <v>0.9543147208121826</v>
      </c>
      <c r="AG11" s="170"/>
    </row>
    <row r="12" spans="1:33" ht="15.75" customHeight="1">
      <c r="A12" s="196" t="s">
        <v>1961</v>
      </c>
      <c r="B12" s="35" t="s">
        <v>84</v>
      </c>
      <c r="C12" s="197" t="s">
        <v>86</v>
      </c>
      <c r="D12" s="198"/>
      <c r="E12" s="35">
        <v>39.799999999999997</v>
      </c>
      <c r="F12" s="4">
        <v>3487</v>
      </c>
      <c r="G12" s="4">
        <f t="shared" si="11"/>
        <v>138782.59999999998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1433.0136986301372</v>
      </c>
      <c r="N12" s="16">
        <f t="shared" si="3"/>
        <v>84.294923448831597</v>
      </c>
      <c r="O12" s="18">
        <f t="shared" si="4"/>
        <v>0</v>
      </c>
      <c r="P12" s="19">
        <f t="shared" si="5"/>
        <v>-3.9403706688154614</v>
      </c>
      <c r="Q12" s="20">
        <f t="shared" si="6"/>
        <v>0.95534246575342474</v>
      </c>
      <c r="R12" s="170"/>
      <c r="S12" s="27">
        <v>0.53611111111111109</v>
      </c>
      <c r="T12" s="27">
        <v>0.63749999999999996</v>
      </c>
      <c r="U12" s="4">
        <f t="shared" si="14"/>
        <v>55.999999999999957</v>
      </c>
      <c r="V12" s="21">
        <f t="shared" si="13"/>
        <v>145.99999999999997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-66.986301369862758</v>
      </c>
      <c r="AF12" s="20">
        <f t="shared" si="9"/>
        <v>0.95534246575342485</v>
      </c>
      <c r="AG12" s="170"/>
    </row>
    <row r="13" spans="1:33" ht="16.5" customHeight="1">
      <c r="A13" s="196" t="s">
        <v>1961</v>
      </c>
      <c r="B13" s="35" t="s">
        <v>1960</v>
      </c>
      <c r="C13" s="171"/>
      <c r="D13" s="171"/>
      <c r="E13" s="36"/>
      <c r="F13" s="17"/>
      <c r="G13" s="17"/>
      <c r="H13" s="4"/>
      <c r="I13" s="29">
        <v>17.666666666666668</v>
      </c>
      <c r="J13" s="17">
        <v>1500</v>
      </c>
      <c r="K13" s="16">
        <f t="shared" si="1"/>
        <v>84.905660377358487</v>
      </c>
      <c r="L13" s="29">
        <v>17.666666666666668</v>
      </c>
      <c r="M13" s="17">
        <f>AVERAGE(M10:M12)</f>
        <v>1430.5093444565125</v>
      </c>
      <c r="N13" s="16">
        <f t="shared" si="3"/>
        <v>80.972227044708248</v>
      </c>
      <c r="O13" s="18">
        <f t="shared" si="4"/>
        <v>0</v>
      </c>
      <c r="P13" s="19">
        <f t="shared" si="5"/>
        <v>-3.9334333326502389</v>
      </c>
      <c r="Q13" s="20">
        <f t="shared" si="6"/>
        <v>0.9536728963043416</v>
      </c>
      <c r="R13" s="170"/>
      <c r="S13" s="27"/>
      <c r="T13" s="27"/>
      <c r="U13" s="16"/>
      <c r="V13" s="21"/>
      <c r="W13" s="16"/>
      <c r="X13" s="16"/>
      <c r="Y13" s="30">
        <f>SUM(Y10:Y12)</f>
        <v>0</v>
      </c>
      <c r="Z13" s="30">
        <f>SUM(Z10:Z12)</f>
        <v>0</v>
      </c>
      <c r="AA13" s="166"/>
      <c r="AB13" s="166"/>
      <c r="AC13" s="30">
        <v>3</v>
      </c>
      <c r="AD13" s="30">
        <f>SUM(AD10:AD12)</f>
        <v>0</v>
      </c>
      <c r="AE13" s="18">
        <f t="shared" si="8"/>
        <v>-69.490655543487492</v>
      </c>
      <c r="AF13" s="20">
        <f t="shared" si="9"/>
        <v>0.95367289630434171</v>
      </c>
      <c r="AG13" s="170"/>
    </row>
    <row r="14" spans="1:33" ht="16.5" customHeight="1">
      <c r="A14" s="194" t="s">
        <v>1962</v>
      </c>
      <c r="B14" s="4" t="s">
        <v>87</v>
      </c>
      <c r="C14" s="190" t="s">
        <v>88</v>
      </c>
      <c r="D14" s="190"/>
      <c r="E14" s="35">
        <v>41</v>
      </c>
      <c r="F14" s="4">
        <v>2148</v>
      </c>
      <c r="G14" s="4">
        <f t="shared" ref="G14:G18" si="15">E14*F14</f>
        <v>88068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8" si="16">F14/V14*60</f>
        <v>1431.9999999999993</v>
      </c>
      <c r="N14" s="16">
        <f t="shared" si="3"/>
        <v>55.076923076923052</v>
      </c>
      <c r="O14" s="18">
        <f t="shared" si="4"/>
        <v>0</v>
      </c>
      <c r="P14" s="19">
        <f t="shared" si="5"/>
        <v>-2.6153846153846416</v>
      </c>
      <c r="Q14" s="20">
        <f t="shared" si="6"/>
        <v>0.95466666666666622</v>
      </c>
      <c r="R14" s="170">
        <f>Q19</f>
        <v>0.95656632787585583</v>
      </c>
      <c r="S14" s="27">
        <v>0.20833333333333334</v>
      </c>
      <c r="T14" s="27">
        <v>0.27083333333333337</v>
      </c>
      <c r="U14" s="4"/>
      <c r="V14" s="21">
        <f t="shared" ref="V14:V18" si="17">(T14-S14)*24*60</f>
        <v>90.000000000000043</v>
      </c>
      <c r="W14" s="27"/>
      <c r="X14" s="27"/>
      <c r="Y14" s="27"/>
      <c r="Z14" s="27"/>
      <c r="AA14" s="162"/>
      <c r="AB14" s="162"/>
      <c r="AC14" s="24">
        <v>5</v>
      </c>
      <c r="AD14" s="24"/>
      <c r="AE14" s="18">
        <f t="shared" si="8"/>
        <v>-68.000000000000682</v>
      </c>
      <c r="AF14" s="20">
        <f t="shared" si="9"/>
        <v>0.95466666666666622</v>
      </c>
      <c r="AG14" s="170">
        <f>AF19</f>
        <v>0.95656632787585572</v>
      </c>
    </row>
    <row r="15" spans="1:33" ht="16.5" customHeight="1">
      <c r="A15" s="195" t="s">
        <v>1962</v>
      </c>
      <c r="B15" s="4" t="s">
        <v>78</v>
      </c>
      <c r="C15" s="190" t="s">
        <v>89</v>
      </c>
      <c r="D15" s="190"/>
      <c r="E15" s="35">
        <v>50.98</v>
      </c>
      <c r="F15" s="4">
        <v>2765</v>
      </c>
      <c r="G15" s="4">
        <f t="shared" si="15"/>
        <v>140959.69999999998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1906.8965517241377</v>
      </c>
      <c r="N15" s="16">
        <f t="shared" si="3"/>
        <v>119.18103448275861</v>
      </c>
      <c r="O15" s="18">
        <f t="shared" si="4"/>
        <v>0</v>
      </c>
      <c r="P15" s="19">
        <f t="shared" si="5"/>
        <v>-5.818965517241395</v>
      </c>
      <c r="Q15" s="20">
        <f t="shared" si="6"/>
        <v>0.95344827586206882</v>
      </c>
      <c r="R15" s="170"/>
      <c r="S15" s="27">
        <v>0.70833333333333337</v>
      </c>
      <c r="T15" s="27">
        <v>0.76875000000000004</v>
      </c>
      <c r="U15" s="4" t="str">
        <f t="shared" ref="U15:U18" si="18">IF(S15=TIME(17,0,0),"",(S15-T14)*24*60)</f>
        <v/>
      </c>
      <c r="V15" s="21">
        <f t="shared" si="17"/>
        <v>87.000000000000014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-93.10344827586232</v>
      </c>
      <c r="AF15" s="20">
        <f t="shared" si="9"/>
        <v>0.95344827586206882</v>
      </c>
      <c r="AG15" s="170"/>
    </row>
    <row r="16" spans="1:33" ht="16.5" customHeight="1">
      <c r="A16" s="195" t="s">
        <v>1962</v>
      </c>
      <c r="B16" s="4" t="s">
        <v>78</v>
      </c>
      <c r="C16" s="190" t="s">
        <v>83</v>
      </c>
      <c r="D16" s="190"/>
      <c r="E16" s="35">
        <v>50.67</v>
      </c>
      <c r="F16" s="4">
        <v>740</v>
      </c>
      <c r="G16" s="4">
        <f t="shared" si="15"/>
        <v>37495.800000000003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1930.4347826086891</v>
      </c>
      <c r="N16" s="16">
        <f t="shared" si="3"/>
        <v>120.65217391304307</v>
      </c>
      <c r="O16" s="18">
        <f t="shared" si="4"/>
        <v>0</v>
      </c>
      <c r="P16" s="19">
        <f t="shared" si="5"/>
        <v>-4.3478260869569283</v>
      </c>
      <c r="Q16" s="20">
        <f t="shared" si="6"/>
        <v>0.96521739130434459</v>
      </c>
      <c r="R16" s="170"/>
      <c r="S16" s="27">
        <v>0.77361111111111114</v>
      </c>
      <c r="T16" s="27">
        <v>0.78958333333333341</v>
      </c>
      <c r="U16" s="4">
        <f t="shared" si="18"/>
        <v>6.9999999999999751</v>
      </c>
      <c r="V16" s="21">
        <f t="shared" si="17"/>
        <v>23.000000000000078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-69.565217391310853</v>
      </c>
      <c r="AF16" s="20">
        <f t="shared" si="9"/>
        <v>0.96521739130434459</v>
      </c>
      <c r="AG16" s="170"/>
    </row>
    <row r="17" spans="1:33" ht="16.5" customHeight="1">
      <c r="A17" s="195" t="s">
        <v>1962</v>
      </c>
      <c r="B17" s="4" t="s">
        <v>78</v>
      </c>
      <c r="C17" s="190" t="s">
        <v>90</v>
      </c>
      <c r="D17" s="190"/>
      <c r="E17" s="35">
        <v>50.92</v>
      </c>
      <c r="F17" s="4">
        <v>1300</v>
      </c>
      <c r="G17" s="4">
        <f t="shared" si="15"/>
        <v>66196</v>
      </c>
      <c r="H17" s="21">
        <v>2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1902.4390243902433</v>
      </c>
      <c r="N17" s="16">
        <f t="shared" si="3"/>
        <v>126.82926829268288</v>
      </c>
      <c r="O17" s="18">
        <f t="shared" si="4"/>
        <v>0</v>
      </c>
      <c r="P17" s="19">
        <f t="shared" si="5"/>
        <v>-6.5040650406504597</v>
      </c>
      <c r="Q17" s="20">
        <f t="shared" si="6"/>
        <v>0.95121951219512157</v>
      </c>
      <c r="R17" s="170"/>
      <c r="S17" s="27">
        <v>0.79444444444444451</v>
      </c>
      <c r="T17" s="27">
        <v>0.82291666666666674</v>
      </c>
      <c r="U17" s="4">
        <f t="shared" si="18"/>
        <v>6.9999999999999751</v>
      </c>
      <c r="V17" s="21">
        <f t="shared" si="17"/>
        <v>41.000000000000014</v>
      </c>
      <c r="W17" s="22">
        <f>T17</f>
        <v>0.82291666666666674</v>
      </c>
      <c r="X17" s="22">
        <f>S18</f>
        <v>0.86250000000000004</v>
      </c>
      <c r="Y17" s="22"/>
      <c r="Z17" s="22"/>
      <c r="AA17" s="162"/>
      <c r="AB17" s="162"/>
      <c r="AC17" s="24"/>
      <c r="AD17" s="24"/>
      <c r="AE17" s="18">
        <f t="shared" si="8"/>
        <v>-97.560975609756724</v>
      </c>
      <c r="AF17" s="20">
        <f t="shared" si="9"/>
        <v>0.95121951219512169</v>
      </c>
      <c r="AG17" s="170"/>
    </row>
    <row r="18" spans="1:33" ht="16.5" customHeight="1">
      <c r="A18" s="195" t="s">
        <v>1962</v>
      </c>
      <c r="B18" s="4" t="s">
        <v>78</v>
      </c>
      <c r="C18" s="190" t="s">
        <v>90</v>
      </c>
      <c r="D18" s="190"/>
      <c r="E18" s="35">
        <v>50.92</v>
      </c>
      <c r="F18" s="4">
        <v>1309</v>
      </c>
      <c r="G18" s="4">
        <f t="shared" si="15"/>
        <v>66654.28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1915.6097560975602</v>
      </c>
      <c r="N18" s="16">
        <f t="shared" si="3"/>
        <v>127.70731707317069</v>
      </c>
      <c r="O18" s="18">
        <f t="shared" si="4"/>
        <v>0</v>
      </c>
      <c r="P18" s="19">
        <f t="shared" si="5"/>
        <v>-5.6260162601626575</v>
      </c>
      <c r="Q18" s="20">
        <f t="shared" si="6"/>
        <v>0.95780487804878012</v>
      </c>
      <c r="R18" s="170"/>
      <c r="S18" s="27">
        <v>0.86250000000000004</v>
      </c>
      <c r="T18" s="27">
        <v>0.89097222222222228</v>
      </c>
      <c r="U18" s="4">
        <f t="shared" si="18"/>
        <v>56.999999999999957</v>
      </c>
      <c r="V18" s="21">
        <f t="shared" si="17"/>
        <v>41.000000000000014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-84.390243902439806</v>
      </c>
      <c r="AF18" s="20">
        <f t="shared" si="9"/>
        <v>0.95780487804878012</v>
      </c>
      <c r="AG18" s="170"/>
    </row>
    <row r="19" spans="1:33" ht="16.5" customHeight="1">
      <c r="A19" s="195" t="s">
        <v>1962</v>
      </c>
      <c r="B19" s="35" t="s">
        <v>1960</v>
      </c>
      <c r="C19" s="171"/>
      <c r="D19" s="171"/>
      <c r="E19" s="36"/>
      <c r="F19" s="16"/>
      <c r="G19" s="16"/>
      <c r="H19" s="4"/>
      <c r="I19" s="29">
        <v>17.600000000000001</v>
      </c>
      <c r="J19" s="17">
        <v>1900</v>
      </c>
      <c r="K19" s="16">
        <f t="shared" si="1"/>
        <v>107.95454545454544</v>
      </c>
      <c r="L19" s="29">
        <v>17.600000000000001</v>
      </c>
      <c r="M19" s="17">
        <f>AVERAGE(M14:M18)</f>
        <v>1817.4760229641258</v>
      </c>
      <c r="N19" s="16">
        <f t="shared" si="3"/>
        <v>103.26568312296169</v>
      </c>
      <c r="O19" s="18">
        <f t="shared" si="4"/>
        <v>0</v>
      </c>
      <c r="P19" s="19">
        <f t="shared" si="5"/>
        <v>-4.6888623315837492</v>
      </c>
      <c r="Q19" s="20">
        <f t="shared" si="6"/>
        <v>0.95656632787585583</v>
      </c>
      <c r="R19" s="170"/>
      <c r="S19" s="27"/>
      <c r="T19" s="27"/>
      <c r="U19" s="4"/>
      <c r="V19" s="21"/>
      <c r="W19" s="16"/>
      <c r="X19" s="16"/>
      <c r="Y19" s="30">
        <f>SUM(Y14:Y18)</f>
        <v>0</v>
      </c>
      <c r="Z19" s="30">
        <f>SUM(Z14:Z18)</f>
        <v>0</v>
      </c>
      <c r="AA19" s="166"/>
      <c r="AB19" s="166"/>
      <c r="AC19" s="30">
        <v>5</v>
      </c>
      <c r="AD19" s="30">
        <f>SUM(AD14:AD18)</f>
        <v>0</v>
      </c>
      <c r="AE19" s="18">
        <f t="shared" si="8"/>
        <v>-82.523977035874168</v>
      </c>
      <c r="AF19" s="20">
        <f t="shared" si="9"/>
        <v>0.95656632787585572</v>
      </c>
      <c r="AG19" s="170"/>
    </row>
    <row r="20" spans="1:33" ht="15.75" customHeight="1">
      <c r="A20" s="192" t="s">
        <v>1963</v>
      </c>
      <c r="B20" s="35" t="s">
        <v>78</v>
      </c>
      <c r="C20" s="190" t="s">
        <v>92</v>
      </c>
      <c r="D20" s="190"/>
      <c r="E20" s="35">
        <v>57.73</v>
      </c>
      <c r="F20" s="4">
        <v>2915</v>
      </c>
      <c r="G20" s="4">
        <f t="shared" ref="G20:G25" si="19">E20*F20</f>
        <v>168282.94999999998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5" si="20">F20/V20*60</f>
        <v>1921.9780219780209</v>
      </c>
      <c r="N20" s="16">
        <f t="shared" si="3"/>
        <v>137.28414442700151</v>
      </c>
      <c r="O20" s="18">
        <f t="shared" si="4"/>
        <v>0</v>
      </c>
      <c r="P20" s="19">
        <f t="shared" si="5"/>
        <v>-5.5729984301413538</v>
      </c>
      <c r="Q20" s="20">
        <f t="shared" si="6"/>
        <v>0.96098901098901057</v>
      </c>
      <c r="R20" s="170">
        <f>Q26</f>
        <v>0.9628397419058331</v>
      </c>
      <c r="S20" s="27">
        <v>0.20833333333333334</v>
      </c>
      <c r="T20" s="27">
        <v>0.27152777777777781</v>
      </c>
      <c r="U20" s="4"/>
      <c r="V20" s="21">
        <f t="shared" ref="V20:V25" si="21">(T20-S20)*24*60</f>
        <v>91.000000000000043</v>
      </c>
      <c r="W20" s="27"/>
      <c r="X20" s="27"/>
      <c r="Y20" s="27"/>
      <c r="Z20" s="27"/>
      <c r="AA20" s="162"/>
      <c r="AB20" s="162"/>
      <c r="AC20" s="24">
        <v>6</v>
      </c>
      <c r="AD20" s="24"/>
      <c r="AE20" s="18">
        <f t="shared" si="8"/>
        <v>-78.021978021979066</v>
      </c>
      <c r="AF20" s="20">
        <f t="shared" si="9"/>
        <v>0.96098901098901046</v>
      </c>
      <c r="AG20" s="170">
        <f>AF26</f>
        <v>0.9628397419058331</v>
      </c>
    </row>
    <row r="21" spans="1:33" ht="15.75" customHeight="1">
      <c r="A21" s="193" t="s">
        <v>1963</v>
      </c>
      <c r="B21" s="35" t="s">
        <v>78</v>
      </c>
      <c r="C21" s="190" t="s">
        <v>93</v>
      </c>
      <c r="D21" s="190"/>
      <c r="E21" s="35">
        <v>53.68</v>
      </c>
      <c r="F21" s="4">
        <v>1588</v>
      </c>
      <c r="G21" s="4">
        <f t="shared" si="19"/>
        <v>85243.839999999997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1905.6000000000006</v>
      </c>
      <c r="N21" s="16">
        <f t="shared" si="3"/>
        <v>119.10000000000004</v>
      </c>
      <c r="O21" s="18">
        <f t="shared" si="4"/>
        <v>0</v>
      </c>
      <c r="P21" s="19">
        <f t="shared" si="5"/>
        <v>-5.8999999999999631</v>
      </c>
      <c r="Q21" s="20">
        <f t="shared" si="6"/>
        <v>0.95280000000000031</v>
      </c>
      <c r="R21" s="170"/>
      <c r="S21" s="27">
        <v>0.27638888888888891</v>
      </c>
      <c r="T21" s="27">
        <v>0.31111111111111112</v>
      </c>
      <c r="U21" s="4">
        <f t="shared" ref="U21:U25" si="22">IF(S21=TIME(17,0,0),"",(S21-T20)*24*60)</f>
        <v>6.9999999999999751</v>
      </c>
      <c r="V21" s="21">
        <f t="shared" si="21"/>
        <v>49.999999999999986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-94.399999999999409</v>
      </c>
      <c r="AF21" s="20">
        <f t="shared" si="9"/>
        <v>0.95280000000000031</v>
      </c>
      <c r="AG21" s="170"/>
    </row>
    <row r="22" spans="1:33" ht="15.75" customHeight="1">
      <c r="A22" s="193" t="s">
        <v>1963</v>
      </c>
      <c r="B22" s="35" t="s">
        <v>78</v>
      </c>
      <c r="C22" s="190" t="s">
        <v>94</v>
      </c>
      <c r="D22" s="190"/>
      <c r="E22" s="35">
        <v>50.49</v>
      </c>
      <c r="F22" s="4">
        <v>2248</v>
      </c>
      <c r="G22" s="4">
        <f t="shared" si="19"/>
        <v>113501.52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1926.8571428571406</v>
      </c>
      <c r="N22" s="16">
        <f t="shared" si="3"/>
        <v>128.45714285714271</v>
      </c>
      <c r="O22" s="18">
        <f t="shared" si="4"/>
        <v>0</v>
      </c>
      <c r="P22" s="19">
        <f t="shared" si="5"/>
        <v>-4.8761904761906294</v>
      </c>
      <c r="Q22" s="20">
        <f t="shared" si="6"/>
        <v>0.9634285714285703</v>
      </c>
      <c r="R22" s="170"/>
      <c r="S22" s="27">
        <v>0.70833333333333337</v>
      </c>
      <c r="T22" s="27">
        <v>0.75694444444444453</v>
      </c>
      <c r="U22" s="4" t="str">
        <f t="shared" si="22"/>
        <v/>
      </c>
      <c r="V22" s="21">
        <f t="shared" si="21"/>
        <v>70.000000000000071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-73.142857142859384</v>
      </c>
      <c r="AF22" s="20">
        <f t="shared" si="9"/>
        <v>0.9634285714285703</v>
      </c>
      <c r="AG22" s="170"/>
    </row>
    <row r="23" spans="1:33" ht="15.75" customHeight="1">
      <c r="A23" s="193" t="s">
        <v>1963</v>
      </c>
      <c r="B23" s="35" t="s">
        <v>78</v>
      </c>
      <c r="C23" s="190" t="s">
        <v>96</v>
      </c>
      <c r="D23" s="190"/>
      <c r="E23" s="35">
        <v>57.3</v>
      </c>
      <c r="F23" s="4">
        <v>1960</v>
      </c>
      <c r="G23" s="4">
        <f t="shared" si="19"/>
        <v>112308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1927.8688524590179</v>
      </c>
      <c r="N23" s="16">
        <f t="shared" si="3"/>
        <v>148.29760403530906</v>
      </c>
      <c r="O23" s="18">
        <f t="shared" si="4"/>
        <v>0</v>
      </c>
      <c r="P23" s="19">
        <f t="shared" si="5"/>
        <v>-5.5485498108447757</v>
      </c>
      <c r="Q23" s="20">
        <f t="shared" si="6"/>
        <v>0.96393442622950898</v>
      </c>
      <c r="R23" s="170"/>
      <c r="S23" s="27">
        <v>0.76250000000000007</v>
      </c>
      <c r="T23" s="27">
        <v>0.80486111111111114</v>
      </c>
      <c r="U23" s="4">
        <f t="shared" si="22"/>
        <v>7.9999999999999716</v>
      </c>
      <c r="V23" s="21">
        <f t="shared" si="21"/>
        <v>60.999999999999943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-72.131147540982056</v>
      </c>
      <c r="AF23" s="20">
        <f t="shared" si="9"/>
        <v>0.96393442622950898</v>
      </c>
      <c r="AG23" s="170"/>
    </row>
    <row r="24" spans="1:33" ht="15.75" customHeight="1">
      <c r="A24" s="193" t="s">
        <v>1963</v>
      </c>
      <c r="B24" s="35" t="s">
        <v>78</v>
      </c>
      <c r="C24" s="190" t="s">
        <v>95</v>
      </c>
      <c r="D24" s="190"/>
      <c r="E24" s="35">
        <v>53.68</v>
      </c>
      <c r="F24" s="4">
        <v>900</v>
      </c>
      <c r="G24" s="4">
        <f t="shared" si="19"/>
        <v>48312</v>
      </c>
      <c r="H24" s="21">
        <v>2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1459.4594594594582</v>
      </c>
      <c r="N24" s="16">
        <f t="shared" si="3"/>
        <v>91.216216216216139</v>
      </c>
      <c r="O24" s="18">
        <f t="shared" si="4"/>
        <v>0</v>
      </c>
      <c r="P24" s="19">
        <f t="shared" si="5"/>
        <v>-2.5337837837838606</v>
      </c>
      <c r="Q24" s="20">
        <f t="shared" si="6"/>
        <v>0.97297297297297214</v>
      </c>
      <c r="R24" s="170"/>
      <c r="S24" s="27">
        <v>0.81041666666666667</v>
      </c>
      <c r="T24" s="27">
        <v>0.83611111111111114</v>
      </c>
      <c r="U24" s="4">
        <f t="shared" si="22"/>
        <v>7.9999999999999716</v>
      </c>
      <c r="V24" s="21">
        <f t="shared" si="21"/>
        <v>37.000000000000028</v>
      </c>
      <c r="W24" s="22">
        <f>T24</f>
        <v>0.83611111111111114</v>
      </c>
      <c r="X24" s="22">
        <f>S25</f>
        <v>0.87638888888888888</v>
      </c>
      <c r="Y24" s="4"/>
      <c r="Z24" s="4"/>
      <c r="AA24" s="162"/>
      <c r="AB24" s="162"/>
      <c r="AC24" s="24"/>
      <c r="AD24" s="24"/>
      <c r="AE24" s="18">
        <f t="shared" si="8"/>
        <v>-40.54054054054177</v>
      </c>
      <c r="AF24" s="20">
        <f t="shared" si="9"/>
        <v>0.97297297297297214</v>
      </c>
      <c r="AG24" s="170"/>
    </row>
    <row r="25" spans="1:33" ht="15.75" customHeight="1">
      <c r="A25" s="193" t="s">
        <v>1963</v>
      </c>
      <c r="B25" s="35" t="s">
        <v>78</v>
      </c>
      <c r="C25" s="190" t="s">
        <v>95</v>
      </c>
      <c r="D25" s="190"/>
      <c r="E25" s="35">
        <v>53.68</v>
      </c>
      <c r="F25" s="4">
        <v>918</v>
      </c>
      <c r="G25" s="4">
        <f t="shared" si="19"/>
        <v>49278.239999999998</v>
      </c>
      <c r="H25" s="21" t="s">
        <v>133</v>
      </c>
      <c r="I25" s="15">
        <v>16</v>
      </c>
      <c r="J25" s="17">
        <v>1500</v>
      </c>
      <c r="K25" s="16">
        <f t="shared" si="1"/>
        <v>93.75</v>
      </c>
      <c r="L25" s="15">
        <v>16</v>
      </c>
      <c r="M25" s="17">
        <f t="shared" si="20"/>
        <v>1449.4736842105253</v>
      </c>
      <c r="N25" s="16">
        <f t="shared" si="3"/>
        <v>90.592105263157833</v>
      </c>
      <c r="O25" s="18">
        <f t="shared" si="4"/>
        <v>0</v>
      </c>
      <c r="P25" s="19">
        <f t="shared" si="5"/>
        <v>-3.1578947368421666</v>
      </c>
      <c r="Q25" s="20">
        <f t="shared" si="6"/>
        <v>0.96631578947368357</v>
      </c>
      <c r="R25" s="170"/>
      <c r="S25" s="27">
        <v>0.87638888888888888</v>
      </c>
      <c r="T25" s="27">
        <v>0.90277777777777779</v>
      </c>
      <c r="U25" s="4">
        <f t="shared" si="22"/>
        <v>57.999999999999957</v>
      </c>
      <c r="V25" s="21">
        <f t="shared" si="21"/>
        <v>38.000000000000028</v>
      </c>
      <c r="W25" s="22"/>
      <c r="X25" s="27"/>
      <c r="Y25" s="27"/>
      <c r="Z25" s="27"/>
      <c r="AA25" s="162"/>
      <c r="AB25" s="162"/>
      <c r="AC25" s="24"/>
      <c r="AD25" s="24"/>
      <c r="AE25" s="18">
        <f t="shared" si="8"/>
        <v>-50.526315789474666</v>
      </c>
      <c r="AF25" s="20">
        <f t="shared" si="9"/>
        <v>0.96631578947368357</v>
      </c>
      <c r="AG25" s="170"/>
    </row>
    <row r="26" spans="1:33" ht="15.75" customHeight="1">
      <c r="A26" s="193" t="s">
        <v>1963</v>
      </c>
      <c r="B26" s="35" t="s">
        <v>1960</v>
      </c>
      <c r="C26" s="171"/>
      <c r="D26" s="171"/>
      <c r="E26" s="36"/>
      <c r="F26" s="4"/>
      <c r="G26" s="4"/>
      <c r="H26" s="4"/>
      <c r="I26" s="29">
        <v>15</v>
      </c>
      <c r="J26" s="17">
        <v>1833.3333333333333</v>
      </c>
      <c r="K26" s="16">
        <f t="shared" si="1"/>
        <v>122.22222222222221</v>
      </c>
      <c r="L26" s="29">
        <v>15</v>
      </c>
      <c r="M26" s="17">
        <f>AVERAGE(M20:M25)</f>
        <v>1765.2061934940273</v>
      </c>
      <c r="N26" s="16">
        <f t="shared" si="3"/>
        <v>117.68041289960182</v>
      </c>
      <c r="O26" s="18">
        <f t="shared" si="4"/>
        <v>0</v>
      </c>
      <c r="P26" s="19">
        <f t="shared" si="5"/>
        <v>-4.5418093226203951</v>
      </c>
      <c r="Q26" s="20">
        <f t="shared" si="6"/>
        <v>0.9628397419058331</v>
      </c>
      <c r="R26" s="170"/>
      <c r="S26" s="27"/>
      <c r="T26" s="27"/>
      <c r="U26" s="16"/>
      <c r="V26" s="21"/>
      <c r="W26" s="16"/>
      <c r="X26" s="16"/>
      <c r="Y26" s="30">
        <f>SUM(Y20:Y25)</f>
        <v>0</v>
      </c>
      <c r="Z26" s="30">
        <f>SUM(Z20:Z25)</f>
        <v>0</v>
      </c>
      <c r="AA26" s="166"/>
      <c r="AB26" s="166"/>
      <c r="AC26" s="30">
        <v>6</v>
      </c>
      <c r="AD26" s="30">
        <f>SUM(AD20:AD25)</f>
        <v>0</v>
      </c>
      <c r="AE26" s="18">
        <f t="shared" si="8"/>
        <v>-68.127139839305983</v>
      </c>
      <c r="AF26" s="20">
        <f t="shared" si="9"/>
        <v>0.9628397419058331</v>
      </c>
      <c r="AG26" s="170"/>
    </row>
    <row r="27" spans="1:33" ht="15.75" customHeight="1">
      <c r="A27" s="191" t="s">
        <v>1964</v>
      </c>
      <c r="B27" s="35" t="s">
        <v>97</v>
      </c>
      <c r="C27" s="190" t="s">
        <v>98</v>
      </c>
      <c r="D27" s="190"/>
      <c r="E27" s="35">
        <v>31.29</v>
      </c>
      <c r="F27" s="4">
        <v>6500</v>
      </c>
      <c r="G27" s="4">
        <f t="shared" ref="G27:G33" si="23">E27*F27</f>
        <v>203385</v>
      </c>
      <c r="H27" s="21">
        <v>2</v>
      </c>
      <c r="I27" s="15">
        <v>18</v>
      </c>
      <c r="J27" s="17">
        <v>2400</v>
      </c>
      <c r="K27" s="16">
        <f t="shared" si="1"/>
        <v>133.33333333333334</v>
      </c>
      <c r="L27" s="15">
        <v>18</v>
      </c>
      <c r="M27" s="17">
        <f t="shared" ref="M27:M33" si="24">F27/V27*60</f>
        <v>2294.1176470588234</v>
      </c>
      <c r="N27" s="16">
        <f t="shared" si="3"/>
        <v>127.45098039215685</v>
      </c>
      <c r="O27" s="18">
        <f t="shared" si="4"/>
        <v>0</v>
      </c>
      <c r="P27" s="19">
        <f t="shared" si="5"/>
        <v>-5.8823529411764923</v>
      </c>
      <c r="Q27" s="20">
        <f t="shared" si="6"/>
        <v>0.95588235294117629</v>
      </c>
      <c r="R27" s="170">
        <f>Q34</f>
        <v>0.95618714116519821</v>
      </c>
      <c r="S27" s="27">
        <v>8.3333333333333329E-2</v>
      </c>
      <c r="T27" s="27">
        <v>0.2013888888888889</v>
      </c>
      <c r="U27" s="4"/>
      <c r="V27" s="21">
        <f t="shared" ref="V27:V33" si="25">(T27-S27)*24*60</f>
        <v>170</v>
      </c>
      <c r="W27" s="22">
        <f>T27</f>
        <v>0.2013888888888889</v>
      </c>
      <c r="X27" s="22">
        <f>S28</f>
        <v>0.22083333333333335</v>
      </c>
      <c r="Y27" s="22"/>
      <c r="Z27" s="22"/>
      <c r="AA27" s="162"/>
      <c r="AB27" s="162"/>
      <c r="AC27" s="24">
        <v>7</v>
      </c>
      <c r="AD27" s="24"/>
      <c r="AE27" s="18">
        <f t="shared" si="8"/>
        <v>-105.88235294117658</v>
      </c>
      <c r="AF27" s="20">
        <f t="shared" si="9"/>
        <v>0.95588235294117641</v>
      </c>
      <c r="AG27" s="170">
        <f>AF34</f>
        <v>0.95618714116519832</v>
      </c>
    </row>
    <row r="28" spans="1:33" ht="15.75" customHeight="1">
      <c r="A28" s="191" t="s">
        <v>1964</v>
      </c>
      <c r="B28" s="35" t="s">
        <v>97</v>
      </c>
      <c r="C28" s="190" t="s">
        <v>99</v>
      </c>
      <c r="D28" s="190"/>
      <c r="E28" s="35">
        <v>25.98</v>
      </c>
      <c r="F28" s="4">
        <v>3665</v>
      </c>
      <c r="G28" s="4">
        <f t="shared" si="23"/>
        <v>95216.7</v>
      </c>
      <c r="H28" s="21" t="s">
        <v>133</v>
      </c>
      <c r="I28" s="15">
        <v>21</v>
      </c>
      <c r="J28" s="17">
        <v>2400</v>
      </c>
      <c r="K28" s="16">
        <f t="shared" si="1"/>
        <v>114.28571428571429</v>
      </c>
      <c r="L28" s="15">
        <v>21</v>
      </c>
      <c r="M28" s="17">
        <f t="shared" si="24"/>
        <v>2290.6249999999995</v>
      </c>
      <c r="N28" s="16">
        <f t="shared" si="3"/>
        <v>109.07738095238093</v>
      </c>
      <c r="O28" s="18">
        <f t="shared" si="4"/>
        <v>0</v>
      </c>
      <c r="P28" s="19">
        <f t="shared" si="5"/>
        <v>-5.208333333333357</v>
      </c>
      <c r="Q28" s="20">
        <f t="shared" si="6"/>
        <v>0.95442708333333315</v>
      </c>
      <c r="R28" s="170"/>
      <c r="S28" s="27">
        <v>0.22083333333333335</v>
      </c>
      <c r="T28" s="27">
        <v>0.28750000000000003</v>
      </c>
      <c r="U28" s="4">
        <f t="shared" ref="U28:U33" si="26">(S28-T27)*24*60</f>
        <v>28.000000000000021</v>
      </c>
      <c r="V28" s="21">
        <f t="shared" si="25"/>
        <v>96.000000000000014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-109.37500000000045</v>
      </c>
      <c r="AF28" s="20">
        <f t="shared" si="9"/>
        <v>0.95442708333333315</v>
      </c>
      <c r="AG28" s="170"/>
    </row>
    <row r="29" spans="1:33" ht="15.75" customHeight="1">
      <c r="A29" s="191" t="s">
        <v>1964</v>
      </c>
      <c r="B29" s="35" t="s">
        <v>97</v>
      </c>
      <c r="C29" s="190" t="s">
        <v>100</v>
      </c>
      <c r="D29" s="190"/>
      <c r="E29" s="35">
        <v>26.2</v>
      </c>
      <c r="F29" s="4">
        <v>3600</v>
      </c>
      <c r="G29" s="4">
        <f t="shared" si="23"/>
        <v>94320</v>
      </c>
      <c r="H29" s="21">
        <v>2</v>
      </c>
      <c r="I29" s="15">
        <v>20</v>
      </c>
      <c r="J29" s="17">
        <v>2400</v>
      </c>
      <c r="K29" s="16">
        <f t="shared" si="1"/>
        <v>120</v>
      </c>
      <c r="L29" s="15">
        <v>20</v>
      </c>
      <c r="M29" s="17">
        <f t="shared" si="24"/>
        <v>2297.872340425532</v>
      </c>
      <c r="N29" s="16">
        <f t="shared" si="3"/>
        <v>114.8936170212766</v>
      </c>
      <c r="O29" s="18">
        <f t="shared" si="4"/>
        <v>0</v>
      </c>
      <c r="P29" s="19">
        <f t="shared" si="5"/>
        <v>-5.1063829787234027</v>
      </c>
      <c r="Q29" s="20">
        <f t="shared" si="6"/>
        <v>0.95744680851063835</v>
      </c>
      <c r="R29" s="170"/>
      <c r="S29" s="27">
        <v>0.29236111111111113</v>
      </c>
      <c r="T29" s="27">
        <v>0.3576388888888889</v>
      </c>
      <c r="U29" s="4">
        <f t="shared" si="26"/>
        <v>6.9999999999999751</v>
      </c>
      <c r="V29" s="21">
        <f t="shared" si="25"/>
        <v>93.999999999999986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-102.127659574468</v>
      </c>
      <c r="AF29" s="20">
        <f t="shared" si="9"/>
        <v>0.95744680851063835</v>
      </c>
      <c r="AG29" s="170"/>
    </row>
    <row r="30" spans="1:33" ht="15.75" customHeight="1">
      <c r="A30" s="191" t="s">
        <v>1964</v>
      </c>
      <c r="B30" s="35" t="s">
        <v>97</v>
      </c>
      <c r="C30" s="190" t="s">
        <v>101</v>
      </c>
      <c r="D30" s="190"/>
      <c r="E30" s="35">
        <v>25.99</v>
      </c>
      <c r="F30" s="4">
        <v>4938</v>
      </c>
      <c r="G30" s="4">
        <f t="shared" si="23"/>
        <v>128338.62</v>
      </c>
      <c r="H30" s="21" t="s">
        <v>133</v>
      </c>
      <c r="I30" s="15">
        <v>14</v>
      </c>
      <c r="J30" s="17">
        <v>2400</v>
      </c>
      <c r="K30" s="16">
        <f t="shared" si="1"/>
        <v>171.42857142857142</v>
      </c>
      <c r="L30" s="15">
        <v>14</v>
      </c>
      <c r="M30" s="17">
        <f t="shared" si="24"/>
        <v>2296.7441860465115</v>
      </c>
      <c r="N30" s="16">
        <f t="shared" si="3"/>
        <v>164.05315614617939</v>
      </c>
      <c r="O30" s="18">
        <f t="shared" si="4"/>
        <v>0</v>
      </c>
      <c r="P30" s="19">
        <f t="shared" si="5"/>
        <v>-7.3754152823920265</v>
      </c>
      <c r="Q30" s="20">
        <f t="shared" si="6"/>
        <v>0.9569767441860465</v>
      </c>
      <c r="R30" s="170"/>
      <c r="S30" s="27">
        <v>0.36249999999999999</v>
      </c>
      <c r="T30" s="27">
        <v>0.45208333333333334</v>
      </c>
      <c r="U30" s="4">
        <f t="shared" si="26"/>
        <v>6.9999999999999751</v>
      </c>
      <c r="V30" s="21">
        <f t="shared" si="25"/>
        <v>129.00000000000003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-103.25581395348854</v>
      </c>
      <c r="AF30" s="20">
        <f t="shared" si="9"/>
        <v>0.95697674418604639</v>
      </c>
      <c r="AG30" s="170"/>
    </row>
    <row r="31" spans="1:33" ht="15.75" customHeight="1">
      <c r="A31" s="191" t="s">
        <v>1964</v>
      </c>
      <c r="B31" s="35" t="s">
        <v>97</v>
      </c>
      <c r="C31" s="190" t="s">
        <v>102</v>
      </c>
      <c r="D31" s="190"/>
      <c r="E31" s="35">
        <v>26.18</v>
      </c>
      <c r="F31" s="4">
        <v>2109</v>
      </c>
      <c r="G31" s="4">
        <f t="shared" si="23"/>
        <v>55213.62</v>
      </c>
      <c r="H31" s="21" t="s">
        <v>133</v>
      </c>
      <c r="I31" s="15">
        <v>19</v>
      </c>
      <c r="J31" s="17">
        <v>2400</v>
      </c>
      <c r="K31" s="16">
        <f t="shared" si="1"/>
        <v>126.31578947368421</v>
      </c>
      <c r="L31" s="15">
        <v>19</v>
      </c>
      <c r="M31" s="17">
        <f t="shared" si="24"/>
        <v>2300.7272727272743</v>
      </c>
      <c r="N31" s="16">
        <f t="shared" si="3"/>
        <v>121.09090909090918</v>
      </c>
      <c r="O31" s="18">
        <f t="shared" si="4"/>
        <v>0</v>
      </c>
      <c r="P31" s="19">
        <f t="shared" si="5"/>
        <v>-5.2248803827750265</v>
      </c>
      <c r="Q31" s="20">
        <f t="shared" si="6"/>
        <v>0.9586363636363644</v>
      </c>
      <c r="R31" s="170"/>
      <c r="S31" s="27">
        <v>0.45624999999999999</v>
      </c>
      <c r="T31" s="27">
        <v>0.49444444444444441</v>
      </c>
      <c r="U31" s="4">
        <f t="shared" si="26"/>
        <v>5.9999999999999787</v>
      </c>
      <c r="V31" s="21">
        <f t="shared" si="25"/>
        <v>54.999999999999964</v>
      </c>
      <c r="W31" s="22">
        <f>T31</f>
        <v>0.49444444444444441</v>
      </c>
      <c r="X31" s="22">
        <f>S32</f>
        <v>0.53680555555555554</v>
      </c>
      <c r="Y31" s="22"/>
      <c r="Z31" s="22"/>
      <c r="AA31" s="162"/>
      <c r="AB31" s="162"/>
      <c r="AC31" s="24"/>
      <c r="AD31" s="24"/>
      <c r="AE31" s="18">
        <f t="shared" si="8"/>
        <v>-99.27272727272566</v>
      </c>
      <c r="AF31" s="20">
        <f t="shared" si="9"/>
        <v>0.95863636363636429</v>
      </c>
      <c r="AG31" s="170"/>
    </row>
    <row r="32" spans="1:33" ht="15.75" customHeight="1">
      <c r="A32" s="191" t="s">
        <v>1964</v>
      </c>
      <c r="B32" s="35" t="s">
        <v>97</v>
      </c>
      <c r="C32" s="190" t="s">
        <v>98</v>
      </c>
      <c r="D32" s="190"/>
      <c r="E32" s="35">
        <v>31.29</v>
      </c>
      <c r="F32" s="4">
        <v>4641</v>
      </c>
      <c r="G32" s="4">
        <f t="shared" si="23"/>
        <v>145216.88999999998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4"/>
        <v>2301.3223140495857</v>
      </c>
      <c r="N32" s="16">
        <f t="shared" si="3"/>
        <v>127.85123966942143</v>
      </c>
      <c r="O32" s="18">
        <f t="shared" si="4"/>
        <v>0</v>
      </c>
      <c r="P32" s="19">
        <f t="shared" si="5"/>
        <v>-5.4820936639119111</v>
      </c>
      <c r="Q32" s="20">
        <f t="shared" si="6"/>
        <v>0.95888429752066062</v>
      </c>
      <c r="R32" s="170"/>
      <c r="S32" s="27">
        <v>0.53680555555555554</v>
      </c>
      <c r="T32" s="27">
        <v>0.62083333333333335</v>
      </c>
      <c r="U32" s="4">
        <f t="shared" si="26"/>
        <v>61.000000000000021</v>
      </c>
      <c r="V32" s="21">
        <f t="shared" si="25"/>
        <v>121.00000000000006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-98.677685950414343</v>
      </c>
      <c r="AF32" s="20">
        <f t="shared" si="9"/>
        <v>0.95888429752066073</v>
      </c>
      <c r="AG32" s="170"/>
    </row>
    <row r="33" spans="1:33" ht="15.75" customHeight="1">
      <c r="A33" s="191" t="s">
        <v>1964</v>
      </c>
      <c r="B33" s="35" t="s">
        <v>97</v>
      </c>
      <c r="C33" s="190" t="s">
        <v>100</v>
      </c>
      <c r="D33" s="190"/>
      <c r="E33" s="35">
        <v>26.2</v>
      </c>
      <c r="F33" s="4">
        <v>2701</v>
      </c>
      <c r="G33" s="4">
        <f t="shared" si="23"/>
        <v>70766.2</v>
      </c>
      <c r="H33" s="21" t="s">
        <v>133</v>
      </c>
      <c r="I33" s="15">
        <v>20</v>
      </c>
      <c r="J33" s="17">
        <v>2400</v>
      </c>
      <c r="K33" s="16">
        <f t="shared" si="1"/>
        <v>120</v>
      </c>
      <c r="L33" s="15">
        <v>20</v>
      </c>
      <c r="M33" s="17">
        <f t="shared" si="24"/>
        <v>2282.5352112676037</v>
      </c>
      <c r="N33" s="16">
        <f t="shared" si="3"/>
        <v>114.12676056338019</v>
      </c>
      <c r="O33" s="18">
        <f t="shared" si="4"/>
        <v>0</v>
      </c>
      <c r="P33" s="19">
        <f t="shared" si="5"/>
        <v>-5.8732394366198122</v>
      </c>
      <c r="Q33" s="20">
        <f t="shared" si="6"/>
        <v>0.95105633802816825</v>
      </c>
      <c r="R33" s="170"/>
      <c r="S33" s="27">
        <v>0.625</v>
      </c>
      <c r="T33" s="27">
        <v>0.6743055555555556</v>
      </c>
      <c r="U33" s="4">
        <f t="shared" si="26"/>
        <v>5.9999999999999787</v>
      </c>
      <c r="V33" s="21">
        <f t="shared" si="25"/>
        <v>71.000000000000071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-117.4647887323963</v>
      </c>
      <c r="AF33" s="20">
        <f t="shared" si="9"/>
        <v>0.95105633802816825</v>
      </c>
      <c r="AG33" s="170"/>
    </row>
    <row r="34" spans="1:33" ht="15.75" customHeight="1">
      <c r="A34" s="191" t="s">
        <v>1964</v>
      </c>
      <c r="B34" s="35" t="s">
        <v>1960</v>
      </c>
      <c r="C34" s="171"/>
      <c r="D34" s="171"/>
      <c r="E34" s="36"/>
      <c r="F34" s="4"/>
      <c r="G34" s="4"/>
      <c r="H34" s="4"/>
      <c r="I34" s="29">
        <v>18.571428571428573</v>
      </c>
      <c r="J34" s="17">
        <v>2400</v>
      </c>
      <c r="K34" s="16">
        <f t="shared" si="1"/>
        <v>129.23076923076923</v>
      </c>
      <c r="L34" s="29">
        <v>18.571428571428573</v>
      </c>
      <c r="M34" s="17">
        <f>AVERAGE(M27:M33)</f>
        <v>2294.8491387964759</v>
      </c>
      <c r="N34" s="16">
        <f t="shared" si="3"/>
        <v>123.56879978134869</v>
      </c>
      <c r="O34" s="18">
        <f t="shared" si="4"/>
        <v>0</v>
      </c>
      <c r="P34" s="19">
        <f t="shared" si="5"/>
        <v>-5.661969449420539</v>
      </c>
      <c r="Q34" s="20">
        <f t="shared" si="6"/>
        <v>0.95618714116519821</v>
      </c>
      <c r="R34" s="170"/>
      <c r="S34" s="27"/>
      <c r="T34" s="27"/>
      <c r="U34" s="4"/>
      <c r="V34" s="21"/>
      <c r="W34" s="4"/>
      <c r="X34" s="4"/>
      <c r="Y34" s="30">
        <f>SUM(Y27:Y33)</f>
        <v>0</v>
      </c>
      <c r="Z34" s="30">
        <f>SUM(Z27:Z33)</f>
        <v>0</v>
      </c>
      <c r="AA34" s="166"/>
      <c r="AB34" s="166"/>
      <c r="AC34" s="30">
        <v>7</v>
      </c>
      <c r="AD34" s="30">
        <f>SUM(AD27:AD33)</f>
        <v>0</v>
      </c>
      <c r="AE34" s="18">
        <f t="shared" si="8"/>
        <v>-105.15086120352407</v>
      </c>
      <c r="AF34" s="20">
        <f t="shared" si="9"/>
        <v>0.95618714116519832</v>
      </c>
      <c r="AG34" s="170"/>
    </row>
    <row r="35" spans="1:33" ht="15.75" customHeight="1">
      <c r="A35" s="188" t="s">
        <v>1965</v>
      </c>
      <c r="B35" s="35" t="s">
        <v>97</v>
      </c>
      <c r="C35" s="163" t="s">
        <v>103</v>
      </c>
      <c r="D35" s="163"/>
      <c r="E35" s="35">
        <v>26.2</v>
      </c>
      <c r="F35" s="4">
        <v>4600</v>
      </c>
      <c r="G35" s="4">
        <f t="shared" ref="G35:G42" si="27">E35*F35</f>
        <v>120520</v>
      </c>
      <c r="H35" s="21">
        <v>2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ref="M35:M42" si="28">F35/V35*60</f>
        <v>2300</v>
      </c>
      <c r="N35" s="16">
        <f t="shared" si="3"/>
        <v>127.77777777777777</v>
      </c>
      <c r="O35" s="18">
        <f t="shared" si="4"/>
        <v>0</v>
      </c>
      <c r="P35" s="19">
        <f t="shared" si="5"/>
        <v>-5.5555555555555713</v>
      </c>
      <c r="Q35" s="20">
        <f t="shared" si="6"/>
        <v>0.95833333333333326</v>
      </c>
      <c r="R35" s="170">
        <f>Q43</f>
        <v>0.95552379920947372</v>
      </c>
      <c r="S35" s="27">
        <v>8.3333333333333329E-2</v>
      </c>
      <c r="T35" s="27">
        <v>0.16666666666666666</v>
      </c>
      <c r="U35" s="4"/>
      <c r="V35" s="21">
        <f t="shared" ref="V35:V42" si="29">(T35-S35)*24*60</f>
        <v>120</v>
      </c>
      <c r="W35" s="27">
        <f>T35</f>
        <v>0.16666666666666666</v>
      </c>
      <c r="X35" s="27">
        <f>S36</f>
        <v>0.18402777777777773</v>
      </c>
      <c r="Y35" s="27"/>
      <c r="Z35" s="27"/>
      <c r="AA35" s="162"/>
      <c r="AB35" s="162"/>
      <c r="AC35" s="24">
        <v>8</v>
      </c>
      <c r="AD35" s="24"/>
      <c r="AE35" s="18">
        <f t="shared" si="8"/>
        <v>-100</v>
      </c>
      <c r="AF35" s="20">
        <f t="shared" si="9"/>
        <v>0.95833333333333337</v>
      </c>
      <c r="AG35" s="170">
        <f>AF43</f>
        <v>0.9555237992094735</v>
      </c>
    </row>
    <row r="36" spans="1:33" ht="15.75" customHeight="1">
      <c r="A36" s="188" t="s">
        <v>1965</v>
      </c>
      <c r="B36" s="35" t="s">
        <v>97</v>
      </c>
      <c r="C36" s="163" t="s">
        <v>104</v>
      </c>
      <c r="D36" s="163"/>
      <c r="E36" s="35">
        <v>20.52</v>
      </c>
      <c r="F36" s="4">
        <v>4684</v>
      </c>
      <c r="G36" s="4">
        <f t="shared" si="27"/>
        <v>96115.68</v>
      </c>
      <c r="H36" s="21" t="s">
        <v>133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2284.8780487804884</v>
      </c>
      <c r="N36" s="16">
        <f t="shared" si="3"/>
        <v>126.9376693766938</v>
      </c>
      <c r="O36" s="18">
        <f t="shared" si="4"/>
        <v>0</v>
      </c>
      <c r="P36" s="19">
        <f t="shared" si="5"/>
        <v>-6.3956639566395381</v>
      </c>
      <c r="Q36" s="20">
        <f t="shared" si="6"/>
        <v>0.95203252032520347</v>
      </c>
      <c r="R36" s="170"/>
      <c r="S36" s="27">
        <v>0.18402777777777773</v>
      </c>
      <c r="T36" s="27">
        <v>0.26944444444444438</v>
      </c>
      <c r="U36" s="4">
        <f t="shared" ref="U36:U42" si="30">(S36-T35)*24*60</f>
        <v>24.99999999999995</v>
      </c>
      <c r="V36" s="21">
        <f t="shared" si="29"/>
        <v>122.99999999999996</v>
      </c>
      <c r="W36" s="4"/>
      <c r="X36" s="4"/>
      <c r="Y36" s="4"/>
      <c r="Z36" s="4"/>
      <c r="AA36" s="162"/>
      <c r="AB36" s="162"/>
      <c r="AC36" s="24"/>
      <c r="AD36" s="24"/>
      <c r="AE36" s="18">
        <f t="shared" si="8"/>
        <v>-115.12195121951163</v>
      </c>
      <c r="AF36" s="20">
        <f t="shared" si="9"/>
        <v>0.95203252032520347</v>
      </c>
      <c r="AG36" s="170"/>
    </row>
    <row r="37" spans="1:33">
      <c r="A37" s="189" t="s">
        <v>1965</v>
      </c>
      <c r="B37" s="35" t="s">
        <v>97</v>
      </c>
      <c r="C37" s="163" t="s">
        <v>105</v>
      </c>
      <c r="D37" s="163"/>
      <c r="E37" s="35">
        <v>26.39</v>
      </c>
      <c r="F37" s="4">
        <v>4100</v>
      </c>
      <c r="G37" s="4">
        <f t="shared" si="27"/>
        <v>108199</v>
      </c>
      <c r="H37" s="21">
        <v>2</v>
      </c>
      <c r="I37" s="15">
        <v>19</v>
      </c>
      <c r="J37" s="17">
        <v>2400</v>
      </c>
      <c r="K37" s="16">
        <f t="shared" si="1"/>
        <v>126.31578947368421</v>
      </c>
      <c r="L37" s="15">
        <v>19</v>
      </c>
      <c r="M37" s="17">
        <f t="shared" si="28"/>
        <v>2299.0654205607475</v>
      </c>
      <c r="N37" s="16">
        <f t="shared" si="3"/>
        <v>121.00344318740777</v>
      </c>
      <c r="O37" s="18">
        <f t="shared" si="4"/>
        <v>0</v>
      </c>
      <c r="P37" s="19">
        <f t="shared" si="5"/>
        <v>-5.312346286276437</v>
      </c>
      <c r="Q37" s="20">
        <f t="shared" si="6"/>
        <v>0.95794392523364491</v>
      </c>
      <c r="R37" s="170"/>
      <c r="S37" s="27">
        <v>0.27499999999999991</v>
      </c>
      <c r="T37" s="27">
        <v>0.34930555555555548</v>
      </c>
      <c r="U37" s="4">
        <f t="shared" si="30"/>
        <v>7.9999999999999716</v>
      </c>
      <c r="V37" s="21">
        <f t="shared" si="29"/>
        <v>107.00000000000001</v>
      </c>
      <c r="W37" s="4"/>
      <c r="X37" s="4"/>
      <c r="Y37" s="4"/>
      <c r="Z37" s="4"/>
      <c r="AA37" s="162"/>
      <c r="AB37" s="162"/>
      <c r="AC37" s="24"/>
      <c r="AD37" s="24"/>
      <c r="AE37" s="18">
        <f t="shared" si="8"/>
        <v>-100.9345794392525</v>
      </c>
      <c r="AF37" s="20">
        <f t="shared" si="9"/>
        <v>0.9579439252336448</v>
      </c>
      <c r="AG37" s="170"/>
    </row>
    <row r="38" spans="1:33">
      <c r="A38" s="189" t="s">
        <v>1965</v>
      </c>
      <c r="B38" s="35" t="s">
        <v>97</v>
      </c>
      <c r="C38" s="163" t="s">
        <v>107</v>
      </c>
      <c r="D38" s="163"/>
      <c r="E38" s="35">
        <v>20.52</v>
      </c>
      <c r="F38" s="4">
        <v>3366</v>
      </c>
      <c r="G38" s="4">
        <f t="shared" si="27"/>
        <v>69070.319999999992</v>
      </c>
      <c r="H38" s="21" t="s">
        <v>133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2295</v>
      </c>
      <c r="N38" s="16">
        <f t="shared" si="3"/>
        <v>127.5</v>
      </c>
      <c r="O38" s="18">
        <f t="shared" si="4"/>
        <v>0</v>
      </c>
      <c r="P38" s="19">
        <f t="shared" si="5"/>
        <v>-5.8333333333333428</v>
      </c>
      <c r="Q38" s="20">
        <f t="shared" si="6"/>
        <v>0.95624999999999993</v>
      </c>
      <c r="R38" s="170"/>
      <c r="S38" s="27">
        <v>0.35347222222222213</v>
      </c>
      <c r="T38" s="27">
        <v>0.41458333333333325</v>
      </c>
      <c r="U38" s="4">
        <f t="shared" si="30"/>
        <v>5.9999999999999787</v>
      </c>
      <c r="V38" s="21">
        <f t="shared" si="29"/>
        <v>88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-105</v>
      </c>
      <c r="AF38" s="20">
        <f t="shared" si="9"/>
        <v>0.95625000000000004</v>
      </c>
      <c r="AG38" s="170"/>
    </row>
    <row r="39" spans="1:33">
      <c r="A39" s="189" t="s">
        <v>1965</v>
      </c>
      <c r="B39" s="35" t="s">
        <v>97</v>
      </c>
      <c r="C39" s="163" t="s">
        <v>304</v>
      </c>
      <c r="D39" s="163"/>
      <c r="E39" s="35">
        <v>22.69</v>
      </c>
      <c r="F39" s="4">
        <v>4100</v>
      </c>
      <c r="G39" s="4">
        <f t="shared" si="27"/>
        <v>93029</v>
      </c>
      <c r="H39" s="21">
        <v>2</v>
      </c>
      <c r="I39" s="15">
        <v>15</v>
      </c>
      <c r="J39" s="17">
        <v>2400</v>
      </c>
      <c r="K39" s="16">
        <f t="shared" si="1"/>
        <v>160</v>
      </c>
      <c r="L39" s="15">
        <v>15</v>
      </c>
      <c r="M39" s="17">
        <f t="shared" si="28"/>
        <v>2299.0654205607475</v>
      </c>
      <c r="N39" s="16">
        <f t="shared" si="3"/>
        <v>153.27102803738316</v>
      </c>
      <c r="O39" s="18">
        <f t="shared" si="4"/>
        <v>0</v>
      </c>
      <c r="P39" s="19">
        <f t="shared" si="5"/>
        <v>-6.7289719626168392</v>
      </c>
      <c r="Q39" s="20">
        <f t="shared" si="6"/>
        <v>0.9579439252336448</v>
      </c>
      <c r="R39" s="170"/>
      <c r="S39" s="27">
        <v>0.4187499999999999</v>
      </c>
      <c r="T39" s="27">
        <v>0.49305555555555547</v>
      </c>
      <c r="U39" s="4">
        <f t="shared" si="30"/>
        <v>5.9999999999999787</v>
      </c>
      <c r="V39" s="21">
        <f t="shared" si="29"/>
        <v>107.00000000000001</v>
      </c>
      <c r="W39" s="22">
        <f>T39</f>
        <v>0.49305555555555547</v>
      </c>
      <c r="X39" s="22">
        <f>S40</f>
        <v>0.53333333333333321</v>
      </c>
      <c r="Y39" s="22"/>
      <c r="Z39" s="22"/>
      <c r="AA39" s="162"/>
      <c r="AB39" s="162"/>
      <c r="AC39" s="24"/>
      <c r="AD39" s="24"/>
      <c r="AE39" s="18">
        <f t="shared" si="8"/>
        <v>-100.9345794392525</v>
      </c>
      <c r="AF39" s="20">
        <f t="shared" si="9"/>
        <v>0.9579439252336448</v>
      </c>
      <c r="AG39" s="170"/>
    </row>
    <row r="40" spans="1:33">
      <c r="A40" s="189" t="s">
        <v>1965</v>
      </c>
      <c r="B40" s="35" t="s">
        <v>97</v>
      </c>
      <c r="C40" s="163" t="s">
        <v>304</v>
      </c>
      <c r="D40" s="163"/>
      <c r="E40" s="35">
        <v>22.69</v>
      </c>
      <c r="F40" s="4">
        <v>2870</v>
      </c>
      <c r="G40" s="4">
        <f t="shared" si="27"/>
        <v>65120.3</v>
      </c>
      <c r="H40" s="21" t="s">
        <v>133</v>
      </c>
      <c r="I40" s="15">
        <v>15</v>
      </c>
      <c r="J40" s="17">
        <v>2400</v>
      </c>
      <c r="K40" s="16">
        <f t="shared" si="1"/>
        <v>160</v>
      </c>
      <c r="L40" s="15">
        <v>15</v>
      </c>
      <c r="M40" s="17">
        <f t="shared" si="28"/>
        <v>2295.9999999999982</v>
      </c>
      <c r="N40" s="16">
        <f t="shared" si="3"/>
        <v>153.06666666666655</v>
      </c>
      <c r="O40" s="18">
        <f t="shared" si="4"/>
        <v>0</v>
      </c>
      <c r="P40" s="19">
        <f t="shared" si="5"/>
        <v>-6.9333333333334508</v>
      </c>
      <c r="Q40" s="20">
        <f t="shared" si="6"/>
        <v>0.95666666666666589</v>
      </c>
      <c r="R40" s="170"/>
      <c r="S40" s="27">
        <v>0.53333333333333321</v>
      </c>
      <c r="T40" s="27">
        <v>0.58541666666666659</v>
      </c>
      <c r="U40" s="4">
        <f t="shared" si="30"/>
        <v>57.999999999999957</v>
      </c>
      <c r="V40" s="21">
        <f t="shared" si="29"/>
        <v>75.000000000000057</v>
      </c>
      <c r="W40" s="22"/>
      <c r="X40" s="22"/>
      <c r="Y40" s="22"/>
      <c r="Z40" s="22"/>
      <c r="AA40" s="162"/>
      <c r="AB40" s="162"/>
      <c r="AC40" s="24"/>
      <c r="AD40" s="24"/>
      <c r="AE40" s="18">
        <f t="shared" si="8"/>
        <v>-104.00000000000182</v>
      </c>
      <c r="AF40" s="20">
        <f t="shared" si="9"/>
        <v>0.95666666666666589</v>
      </c>
      <c r="AG40" s="170"/>
    </row>
    <row r="41" spans="1:33">
      <c r="A41" s="189" t="s">
        <v>1965</v>
      </c>
      <c r="B41" s="35" t="s">
        <v>97</v>
      </c>
      <c r="C41" s="163" t="s">
        <v>103</v>
      </c>
      <c r="D41" s="163"/>
      <c r="E41" s="35">
        <v>26.2</v>
      </c>
      <c r="F41" s="4">
        <v>3506</v>
      </c>
      <c r="G41" s="4">
        <f t="shared" si="27"/>
        <v>91857.2</v>
      </c>
      <c r="H41" s="21" t="s">
        <v>133</v>
      </c>
      <c r="I41" s="15">
        <v>18</v>
      </c>
      <c r="J41" s="17">
        <v>2400</v>
      </c>
      <c r="K41" s="16">
        <f t="shared" si="1"/>
        <v>133.33333333333334</v>
      </c>
      <c r="L41" s="15">
        <v>18</v>
      </c>
      <c r="M41" s="17">
        <f t="shared" si="28"/>
        <v>2286.521739130435</v>
      </c>
      <c r="N41" s="16">
        <f t="shared" si="3"/>
        <v>127.02898550724639</v>
      </c>
      <c r="O41" s="18">
        <f t="shared" si="4"/>
        <v>0</v>
      </c>
      <c r="P41" s="19">
        <f t="shared" si="5"/>
        <v>-6.3043478260869534</v>
      </c>
      <c r="Q41" s="20">
        <f t="shared" si="6"/>
        <v>0.95271739130434785</v>
      </c>
      <c r="R41" s="170"/>
      <c r="S41" s="27">
        <v>0.58958333333333324</v>
      </c>
      <c r="T41" s="27">
        <v>0.65347222222222212</v>
      </c>
      <c r="U41" s="4">
        <f t="shared" si="30"/>
        <v>5.9999999999999787</v>
      </c>
      <c r="V41" s="21">
        <f t="shared" si="29"/>
        <v>92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-113.47826086956502</v>
      </c>
      <c r="AF41" s="20">
        <f t="shared" si="9"/>
        <v>0.95271739130434796</v>
      </c>
      <c r="AG41" s="170"/>
    </row>
    <row r="42" spans="1:33">
      <c r="A42" s="189" t="s">
        <v>1965</v>
      </c>
      <c r="B42" s="35" t="s">
        <v>97</v>
      </c>
      <c r="C42" s="163" t="s">
        <v>105</v>
      </c>
      <c r="D42" s="163"/>
      <c r="E42" s="35">
        <v>26.39</v>
      </c>
      <c r="F42" s="4">
        <v>2895</v>
      </c>
      <c r="G42" s="4">
        <f t="shared" si="27"/>
        <v>76399.05</v>
      </c>
      <c r="H42" s="21" t="s">
        <v>133</v>
      </c>
      <c r="I42" s="15">
        <v>19</v>
      </c>
      <c r="J42" s="17">
        <v>2400</v>
      </c>
      <c r="K42" s="16">
        <f t="shared" si="1"/>
        <v>126.31578947368421</v>
      </c>
      <c r="L42" s="15">
        <v>19</v>
      </c>
      <c r="M42" s="17">
        <f t="shared" si="28"/>
        <v>2285.5263157894719</v>
      </c>
      <c r="N42" s="16">
        <f t="shared" si="3"/>
        <v>120.29085872576168</v>
      </c>
      <c r="O42" s="18">
        <f t="shared" si="4"/>
        <v>0</v>
      </c>
      <c r="P42" s="19">
        <f t="shared" si="5"/>
        <v>-6.0249307479225251</v>
      </c>
      <c r="Q42" s="20">
        <f t="shared" si="6"/>
        <v>0.95230263157894668</v>
      </c>
      <c r="R42" s="170"/>
      <c r="S42" s="27">
        <v>0.65694444444444433</v>
      </c>
      <c r="T42" s="27">
        <v>0.70972222222222214</v>
      </c>
      <c r="U42" s="4">
        <f t="shared" si="30"/>
        <v>4.9999999999999822</v>
      </c>
      <c r="V42" s="21">
        <f t="shared" si="29"/>
        <v>76.000000000000057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-114.47368421052806</v>
      </c>
      <c r="AF42" s="20">
        <f t="shared" si="9"/>
        <v>0.95230263157894668</v>
      </c>
      <c r="AG42" s="170"/>
    </row>
    <row r="43" spans="1:33">
      <c r="A43" s="189" t="s">
        <v>1965</v>
      </c>
      <c r="B43" s="16" t="s">
        <v>1960</v>
      </c>
      <c r="C43" s="171"/>
      <c r="D43" s="171"/>
      <c r="E43" s="36"/>
      <c r="F43" s="16"/>
      <c r="G43" s="16"/>
      <c r="H43" s="4"/>
      <c r="I43" s="29">
        <v>17.5</v>
      </c>
      <c r="J43" s="17">
        <v>2400</v>
      </c>
      <c r="K43" s="16">
        <f t="shared" si="1"/>
        <v>137.14285714285714</v>
      </c>
      <c r="L43" s="29">
        <v>17.5</v>
      </c>
      <c r="M43" s="17">
        <f>AVERAGE(M35:M42)</f>
        <v>2293.2571181027365</v>
      </c>
      <c r="N43" s="16">
        <f t="shared" si="3"/>
        <v>131.04326389158496</v>
      </c>
      <c r="O43" s="18">
        <f t="shared" si="4"/>
        <v>0</v>
      </c>
      <c r="P43" s="19">
        <f t="shared" si="5"/>
        <v>-6.0995932512721822</v>
      </c>
      <c r="Q43" s="20">
        <f t="shared" si="6"/>
        <v>0.95552379920947372</v>
      </c>
      <c r="R43" s="170"/>
      <c r="S43" s="27"/>
      <c r="T43" s="27"/>
      <c r="U43" s="16"/>
      <c r="V43" s="21"/>
      <c r="W43" s="16"/>
      <c r="X43" s="16"/>
      <c r="Y43" s="30">
        <f>SUM(Y35:Y42)</f>
        <v>0</v>
      </c>
      <c r="Z43" s="30">
        <f>SUM(Z35:Z42)</f>
        <v>0</v>
      </c>
      <c r="AA43" s="166"/>
      <c r="AB43" s="166"/>
      <c r="AC43" s="30">
        <v>8</v>
      </c>
      <c r="AD43" s="30">
        <f>SUM(AD35:AD42)</f>
        <v>0</v>
      </c>
      <c r="AE43" s="18">
        <f t="shared" si="8"/>
        <v>-106.74288189726349</v>
      </c>
      <c r="AF43" s="20">
        <f t="shared" si="9"/>
        <v>0.9555237992094735</v>
      </c>
      <c r="AG43" s="170"/>
    </row>
    <row r="44" spans="1:33" ht="15.75" customHeight="1">
      <c r="A44" s="182" t="s">
        <v>1966</v>
      </c>
      <c r="B44" s="35" t="s">
        <v>108</v>
      </c>
      <c r="C44" s="174" t="s">
        <v>1514</v>
      </c>
      <c r="D44" s="175"/>
      <c r="E44" s="35">
        <v>34.35</v>
      </c>
      <c r="F44" s="4">
        <v>5819</v>
      </c>
      <c r="G44" s="4">
        <f t="shared" ref="G44:G48" si="31">E44*F44</f>
        <v>199882.65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ref="M44:M48" si="32">F44/V44*60</f>
        <v>2861.8032786885246</v>
      </c>
      <c r="N44" s="17">
        <f t="shared" si="3"/>
        <v>357.72540983606558</v>
      </c>
      <c r="O44" s="18">
        <f t="shared" si="4"/>
        <v>0</v>
      </c>
      <c r="P44" s="19">
        <f t="shared" si="5"/>
        <v>-17.27459016393442</v>
      </c>
      <c r="Q44" s="20">
        <f t="shared" si="6"/>
        <v>0.95393442622950819</v>
      </c>
      <c r="R44" s="185">
        <f>Q49</f>
        <v>0.95617673989669827</v>
      </c>
      <c r="S44" s="27">
        <v>8.3333333333333329E-2</v>
      </c>
      <c r="T44" s="27">
        <v>0.16805555555555554</v>
      </c>
      <c r="U44" s="27"/>
      <c r="V44" s="21">
        <f t="shared" ref="V44:V48" si="33">(T44-S44)*24*60</f>
        <v>122</v>
      </c>
      <c r="W44" s="22">
        <f>T44</f>
        <v>0.16805555555555554</v>
      </c>
      <c r="X44" s="22">
        <f>S45</f>
        <v>0.18611111111111109</v>
      </c>
      <c r="Y44" s="25"/>
      <c r="Z44" s="25"/>
      <c r="AA44" s="176"/>
      <c r="AB44" s="177"/>
      <c r="AC44" s="24">
        <v>5</v>
      </c>
      <c r="AD44" s="24"/>
      <c r="AE44" s="18">
        <f t="shared" si="8"/>
        <v>-138.19672131147536</v>
      </c>
      <c r="AF44" s="20">
        <f t="shared" si="9"/>
        <v>0.95393442622950819</v>
      </c>
      <c r="AG44" s="185">
        <f>AF49</f>
        <v>0.95617673989669816</v>
      </c>
    </row>
    <row r="45" spans="1:33" ht="15.75" customHeight="1">
      <c r="A45" s="183" t="s">
        <v>1967</v>
      </c>
      <c r="B45" s="35" t="s">
        <v>108</v>
      </c>
      <c r="C45" s="174" t="s">
        <v>111</v>
      </c>
      <c r="D45" s="175"/>
      <c r="E45" s="35">
        <v>21.13</v>
      </c>
      <c r="F45" s="4">
        <v>6273</v>
      </c>
      <c r="G45" s="4">
        <f t="shared" si="31"/>
        <v>132548.49</v>
      </c>
      <c r="H45" s="21" t="s">
        <v>133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si="32"/>
        <v>2873.129770992367</v>
      </c>
      <c r="N45" s="17">
        <f t="shared" si="3"/>
        <v>287.31297709923672</v>
      </c>
      <c r="O45" s="18">
        <f t="shared" si="4"/>
        <v>0</v>
      </c>
      <c r="P45" s="19">
        <f t="shared" si="5"/>
        <v>-12.687022900763282</v>
      </c>
      <c r="Q45" s="20">
        <f t="shared" si="6"/>
        <v>0.95770992366412244</v>
      </c>
      <c r="R45" s="186"/>
      <c r="S45" s="27">
        <v>0.18611111111111109</v>
      </c>
      <c r="T45" s="27">
        <v>0.27708333333333329</v>
      </c>
      <c r="U45" s="4">
        <f t="shared" ref="U45:U48" si="34">(S45-T44)*24*60</f>
        <v>25.999999999999986</v>
      </c>
      <c r="V45" s="21">
        <f t="shared" si="33"/>
        <v>130.99999999999997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-126.87022900763304</v>
      </c>
      <c r="AF45" s="20">
        <f t="shared" si="9"/>
        <v>0.95770992366412233</v>
      </c>
      <c r="AG45" s="186"/>
    </row>
    <row r="46" spans="1:33" ht="15.75" customHeight="1">
      <c r="A46" s="183" t="s">
        <v>1967</v>
      </c>
      <c r="B46" s="35" t="s">
        <v>108</v>
      </c>
      <c r="C46" s="174" t="s">
        <v>112</v>
      </c>
      <c r="D46" s="175"/>
      <c r="E46" s="35">
        <v>27.17</v>
      </c>
      <c r="F46" s="4">
        <v>8246</v>
      </c>
      <c r="G46" s="4">
        <f t="shared" si="31"/>
        <v>224043.82</v>
      </c>
      <c r="H46" s="21" t="s">
        <v>133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2859.8843930635835</v>
      </c>
      <c r="N46" s="17">
        <f t="shared" si="3"/>
        <v>285.98843930635837</v>
      </c>
      <c r="O46" s="18">
        <f t="shared" si="4"/>
        <v>0</v>
      </c>
      <c r="P46" s="19">
        <f t="shared" si="5"/>
        <v>-14.011560693641627</v>
      </c>
      <c r="Q46" s="20">
        <f t="shared" si="6"/>
        <v>0.9532947976878613</v>
      </c>
      <c r="R46" s="186"/>
      <c r="S46" s="27">
        <v>0.28124999999999994</v>
      </c>
      <c r="T46" s="27">
        <v>0.40138888888888885</v>
      </c>
      <c r="U46" s="4">
        <f t="shared" si="34"/>
        <v>5.9999999999999787</v>
      </c>
      <c r="V46" s="21">
        <f t="shared" si="33"/>
        <v>173.00000000000003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-140.1156069364165</v>
      </c>
      <c r="AF46" s="20">
        <f t="shared" si="9"/>
        <v>0.95329479768786118</v>
      </c>
      <c r="AG46" s="186"/>
    </row>
    <row r="47" spans="1:33" ht="15.75" customHeight="1">
      <c r="A47" s="183" t="s">
        <v>1968</v>
      </c>
      <c r="B47" s="35" t="s">
        <v>108</v>
      </c>
      <c r="C47" s="174" t="s">
        <v>305</v>
      </c>
      <c r="D47" s="175"/>
      <c r="E47" s="35">
        <v>28.3</v>
      </c>
      <c r="F47" s="4">
        <v>3182</v>
      </c>
      <c r="G47" s="4">
        <f t="shared" si="31"/>
        <v>90050.6</v>
      </c>
      <c r="H47" s="21" t="s">
        <v>133</v>
      </c>
      <c r="I47" s="15">
        <v>8</v>
      </c>
      <c r="J47" s="17">
        <v>3000</v>
      </c>
      <c r="K47" s="16">
        <f t="shared" si="1"/>
        <v>375</v>
      </c>
      <c r="L47" s="15">
        <v>8</v>
      </c>
      <c r="M47" s="17">
        <f t="shared" si="32"/>
        <v>2892.7272727272725</v>
      </c>
      <c r="N47" s="17">
        <f t="shared" si="3"/>
        <v>361.59090909090907</v>
      </c>
      <c r="O47" s="18">
        <f t="shared" si="4"/>
        <v>0</v>
      </c>
      <c r="P47" s="19">
        <f t="shared" si="5"/>
        <v>-13.409090909090935</v>
      </c>
      <c r="Q47" s="20">
        <f t="shared" si="6"/>
        <v>0.96424242424242412</v>
      </c>
      <c r="R47" s="186"/>
      <c r="S47" s="27">
        <v>0.4055555555555555</v>
      </c>
      <c r="T47" s="27">
        <v>0.45138888888888884</v>
      </c>
      <c r="U47" s="4">
        <f t="shared" si="34"/>
        <v>5.9999999999999787</v>
      </c>
      <c r="V47" s="21">
        <f t="shared" si="33"/>
        <v>66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-107.27272727272748</v>
      </c>
      <c r="AF47" s="20">
        <f t="shared" si="9"/>
        <v>0.96424242424242412</v>
      </c>
      <c r="AG47" s="186"/>
    </row>
    <row r="48" spans="1:33" ht="15.75" customHeight="1">
      <c r="A48" s="183" t="s">
        <v>1966</v>
      </c>
      <c r="B48" s="35" t="s">
        <v>108</v>
      </c>
      <c r="C48" s="174" t="s">
        <v>113</v>
      </c>
      <c r="D48" s="175"/>
      <c r="E48" s="35">
        <v>35.869999999999997</v>
      </c>
      <c r="F48" s="4">
        <v>4473</v>
      </c>
      <c r="G48" s="4">
        <f t="shared" si="31"/>
        <v>160446.50999999998</v>
      </c>
      <c r="H48" s="21" t="s">
        <v>133</v>
      </c>
      <c r="I48" s="15">
        <v>9</v>
      </c>
      <c r="J48" s="17">
        <v>3000</v>
      </c>
      <c r="K48" s="16">
        <f t="shared" si="1"/>
        <v>333.33333333333331</v>
      </c>
      <c r="L48" s="15">
        <v>9</v>
      </c>
      <c r="M48" s="17">
        <f t="shared" si="32"/>
        <v>2855.1063829787236</v>
      </c>
      <c r="N48" s="17">
        <f t="shared" si="3"/>
        <v>317.2340425531915</v>
      </c>
      <c r="O48" s="18">
        <f t="shared" si="4"/>
        <v>0</v>
      </c>
      <c r="P48" s="19">
        <f t="shared" si="5"/>
        <v>-16.099290780141814</v>
      </c>
      <c r="Q48" s="20">
        <f t="shared" si="6"/>
        <v>0.95170212765957451</v>
      </c>
      <c r="R48" s="186"/>
      <c r="S48" s="27">
        <v>0.45486111111111105</v>
      </c>
      <c r="T48" s="27">
        <v>0.52013888888888882</v>
      </c>
      <c r="U48" s="4">
        <f t="shared" si="34"/>
        <v>4.9999999999999822</v>
      </c>
      <c r="V48" s="21">
        <f t="shared" si="33"/>
        <v>93.999999999999986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-144.89361702127644</v>
      </c>
      <c r="AF48" s="20">
        <f t="shared" si="9"/>
        <v>0.95170212765957451</v>
      </c>
      <c r="AG48" s="186"/>
    </row>
    <row r="49" spans="1:33" ht="15.75" customHeight="1">
      <c r="A49" s="184" t="s">
        <v>1969</v>
      </c>
      <c r="B49" s="35" t="s">
        <v>1970</v>
      </c>
      <c r="C49" s="164"/>
      <c r="D49" s="165"/>
      <c r="E49" s="37"/>
      <c r="F49" s="4"/>
      <c r="G49" s="4"/>
      <c r="H49" s="4"/>
      <c r="I49" s="29">
        <v>9</v>
      </c>
      <c r="J49" s="17">
        <v>3000</v>
      </c>
      <c r="K49" s="16">
        <f t="shared" si="1"/>
        <v>333.33333333333331</v>
      </c>
      <c r="L49" s="29">
        <v>9</v>
      </c>
      <c r="M49" s="17">
        <f>AVERAGE(M44:M48)</f>
        <v>2868.5302196900943</v>
      </c>
      <c r="N49" s="16">
        <f t="shared" si="3"/>
        <v>318.72557996556606</v>
      </c>
      <c r="O49" s="18">
        <f t="shared" si="4"/>
        <v>0</v>
      </c>
      <c r="P49" s="19">
        <f t="shared" si="5"/>
        <v>-14.607753367767259</v>
      </c>
      <c r="Q49" s="20">
        <f t="shared" si="6"/>
        <v>0.95617673989669827</v>
      </c>
      <c r="R49" s="187"/>
      <c r="S49" s="27"/>
      <c r="T49" s="27"/>
      <c r="U49" s="4"/>
      <c r="V49" s="21"/>
      <c r="W49" s="22"/>
      <c r="X49" s="22"/>
      <c r="Y49" s="30">
        <f>SUM(Y44:Y48)</f>
        <v>0</v>
      </c>
      <c r="Z49" s="30">
        <f>SUM(Z44:Z48)</f>
        <v>0</v>
      </c>
      <c r="AA49" s="180"/>
      <c r="AB49" s="181"/>
      <c r="AC49" s="30">
        <v>5</v>
      </c>
      <c r="AD49" s="30">
        <f>SUM(AD44:AD48)</f>
        <v>0</v>
      </c>
      <c r="AE49" s="18">
        <f t="shared" si="8"/>
        <v>-131.46978030990567</v>
      </c>
      <c r="AF49" s="20">
        <f t="shared" si="9"/>
        <v>0.95617673989669816</v>
      </c>
      <c r="AG49" s="187"/>
    </row>
    <row r="50" spans="1:33" ht="15.75" customHeight="1">
      <c r="A50" s="178" t="s">
        <v>72</v>
      </c>
      <c r="B50" s="35" t="s">
        <v>84</v>
      </c>
      <c r="C50" s="163" t="s">
        <v>114</v>
      </c>
      <c r="D50" s="163"/>
      <c r="E50" s="35">
        <v>46</v>
      </c>
      <c r="F50" s="38">
        <v>2542</v>
      </c>
      <c r="G50" s="4">
        <f t="shared" ref="G50:G57" si="35">E50*F50</f>
        <v>116932</v>
      </c>
      <c r="H50" s="21" t="s">
        <v>133</v>
      </c>
      <c r="I50" s="15">
        <v>17</v>
      </c>
      <c r="J50" s="17">
        <v>2000</v>
      </c>
      <c r="K50" s="16">
        <f t="shared" si="1"/>
        <v>117.64705882352941</v>
      </c>
      <c r="L50" s="15">
        <v>17</v>
      </c>
      <c r="M50" s="17">
        <f t="shared" ref="M50" si="36">F50/V50*60</f>
        <v>1906.5</v>
      </c>
      <c r="N50" s="17">
        <f t="shared" si="3"/>
        <v>112.14705882352941</v>
      </c>
      <c r="O50" s="18">
        <f t="shared" si="4"/>
        <v>0</v>
      </c>
      <c r="P50" s="19">
        <f t="shared" si="5"/>
        <v>-5.5</v>
      </c>
      <c r="Q50" s="20">
        <f t="shared" si="6"/>
        <v>0.95325000000000004</v>
      </c>
      <c r="R50" s="170">
        <f>Q58</f>
        <v>0.95278891852384062</v>
      </c>
      <c r="S50" s="27">
        <v>0.20833333333333334</v>
      </c>
      <c r="T50" s="27">
        <v>0.2638888888888889</v>
      </c>
      <c r="U50" s="27"/>
      <c r="V50" s="21">
        <f t="shared" ref="V50:V57" si="37">(T50-S50)*24*60</f>
        <v>80</v>
      </c>
      <c r="W50" s="27"/>
      <c r="X50" s="27"/>
      <c r="Y50" s="27"/>
      <c r="Z50" s="27"/>
      <c r="AA50" s="162"/>
      <c r="AB50" s="162"/>
      <c r="AC50" s="24">
        <v>8</v>
      </c>
      <c r="AD50" s="24"/>
      <c r="AE50" s="18">
        <f t="shared" si="8"/>
        <v>-93.5</v>
      </c>
      <c r="AF50" s="20">
        <f t="shared" si="9"/>
        <v>0.95325000000000004</v>
      </c>
      <c r="AG50" s="170">
        <f>AF58</f>
        <v>0.95278891852384062</v>
      </c>
    </row>
    <row r="51" spans="1:33" ht="15.75" customHeight="1">
      <c r="A51" s="178" t="s">
        <v>72</v>
      </c>
      <c r="B51" s="35" t="s">
        <v>78</v>
      </c>
      <c r="C51" s="163" t="s">
        <v>115</v>
      </c>
      <c r="D51" s="163"/>
      <c r="E51" s="35">
        <v>56.43</v>
      </c>
      <c r="F51" s="38">
        <v>2002</v>
      </c>
      <c r="G51" s="4">
        <f t="shared" si="35"/>
        <v>112972.86</v>
      </c>
      <c r="H51" s="21" t="s">
        <v>133</v>
      </c>
      <c r="I51" s="15">
        <v>22</v>
      </c>
      <c r="J51" s="17">
        <v>2000</v>
      </c>
      <c r="K51" s="16">
        <f t="shared" si="1"/>
        <v>90.909090909090907</v>
      </c>
      <c r="L51" s="15">
        <v>22</v>
      </c>
      <c r="M51" s="17">
        <f>F51/V51*60</f>
        <v>1876.8749999999995</v>
      </c>
      <c r="N51" s="17">
        <f t="shared" si="3"/>
        <v>85.312499999999986</v>
      </c>
      <c r="O51" s="18">
        <f t="shared" si="4"/>
        <v>0</v>
      </c>
      <c r="P51" s="19">
        <f t="shared" si="5"/>
        <v>-5.5965909090909207</v>
      </c>
      <c r="Q51" s="20">
        <f t="shared" si="6"/>
        <v>0.93843749999999992</v>
      </c>
      <c r="R51" s="170"/>
      <c r="S51" s="27">
        <v>0.26805555555555555</v>
      </c>
      <c r="T51" s="27">
        <v>0.3125</v>
      </c>
      <c r="U51" s="4">
        <f t="shared" ref="U51:U57" si="38">IF(S51=TIME(17,0,0),"",(S51-T50)*24*60)</f>
        <v>5.9999999999999787</v>
      </c>
      <c r="V51" s="21">
        <f t="shared" si="37"/>
        <v>64.000000000000014</v>
      </c>
      <c r="W51" s="22"/>
      <c r="X51" s="22"/>
      <c r="Y51" s="22"/>
      <c r="Z51" s="22"/>
      <c r="AA51" s="162"/>
      <c r="AB51" s="162"/>
      <c r="AC51" s="24"/>
      <c r="AD51" s="24"/>
      <c r="AE51" s="18">
        <f t="shared" si="8"/>
        <v>-123.12500000000045</v>
      </c>
      <c r="AF51" s="20">
        <f t="shared" si="9"/>
        <v>0.93843749999999981</v>
      </c>
      <c r="AG51" s="170"/>
    </row>
    <row r="52" spans="1:33" ht="15.75" customHeight="1">
      <c r="A52" s="178" t="s">
        <v>1971</v>
      </c>
      <c r="B52" s="35" t="s">
        <v>78</v>
      </c>
      <c r="C52" s="174" t="s">
        <v>116</v>
      </c>
      <c r="D52" s="175"/>
      <c r="E52" s="35">
        <v>51.75</v>
      </c>
      <c r="F52" s="38">
        <v>1310</v>
      </c>
      <c r="G52" s="4">
        <f t="shared" si="35"/>
        <v>67792.5</v>
      </c>
      <c r="H52" s="21" t="s">
        <v>133</v>
      </c>
      <c r="I52" s="15">
        <v>25</v>
      </c>
      <c r="J52" s="17">
        <v>2000</v>
      </c>
      <c r="K52" s="16">
        <f t="shared" si="1"/>
        <v>80</v>
      </c>
      <c r="L52" s="15">
        <v>25</v>
      </c>
      <c r="M52" s="17">
        <f t="shared" ref="M52:M57" si="39">F52/V52*60</f>
        <v>1827.9069767441856</v>
      </c>
      <c r="N52" s="17">
        <f t="shared" si="3"/>
        <v>73.11627906976743</v>
      </c>
      <c r="O52" s="18">
        <f t="shared" si="4"/>
        <v>0</v>
      </c>
      <c r="P52" s="19">
        <f t="shared" si="5"/>
        <v>-6.8837209302325704</v>
      </c>
      <c r="Q52" s="20">
        <f t="shared" si="6"/>
        <v>0.91395348837209289</v>
      </c>
      <c r="R52" s="170"/>
      <c r="S52" s="27">
        <v>0.31736111111111109</v>
      </c>
      <c r="T52" s="27">
        <v>0.34722222222222221</v>
      </c>
      <c r="U52" s="4">
        <f t="shared" si="38"/>
        <v>6.9999999999999751</v>
      </c>
      <c r="V52" s="21">
        <f t="shared" si="37"/>
        <v>43.000000000000007</v>
      </c>
      <c r="W52" s="22"/>
      <c r="X52" s="22"/>
      <c r="Y52" s="25"/>
      <c r="Z52" s="25"/>
      <c r="AA52" s="162"/>
      <c r="AB52" s="162"/>
      <c r="AC52" s="24"/>
      <c r="AD52" s="24"/>
      <c r="AE52" s="18">
        <f t="shared" si="8"/>
        <v>-172.09302325581439</v>
      </c>
      <c r="AF52" s="20">
        <f t="shared" si="9"/>
        <v>0.91395348837209278</v>
      </c>
      <c r="AG52" s="170"/>
    </row>
    <row r="53" spans="1:33" ht="15.75" customHeight="1">
      <c r="A53" s="178" t="s">
        <v>1971</v>
      </c>
      <c r="B53" s="35" t="s">
        <v>78</v>
      </c>
      <c r="C53" s="39" t="s">
        <v>118</v>
      </c>
      <c r="D53" s="40"/>
      <c r="E53" s="35">
        <v>57.73</v>
      </c>
      <c r="F53" s="38">
        <v>1118</v>
      </c>
      <c r="G53" s="4">
        <f t="shared" si="35"/>
        <v>64542.14</v>
      </c>
      <c r="H53" s="21" t="s">
        <v>133</v>
      </c>
      <c r="I53" s="15">
        <v>16</v>
      </c>
      <c r="J53" s="17">
        <v>1500</v>
      </c>
      <c r="K53" s="16">
        <f t="shared" si="1"/>
        <v>93.75</v>
      </c>
      <c r="L53" s="15">
        <v>16</v>
      </c>
      <c r="M53" s="17">
        <f t="shared" si="39"/>
        <v>1458.2608695652175</v>
      </c>
      <c r="N53" s="17">
        <f t="shared" si="3"/>
        <v>91.141304347826093</v>
      </c>
      <c r="O53" s="18">
        <f t="shared" si="4"/>
        <v>0</v>
      </c>
      <c r="P53" s="19">
        <f t="shared" si="5"/>
        <v>-2.6086956521739069</v>
      </c>
      <c r="Q53" s="20">
        <f t="shared" si="6"/>
        <v>0.97217391304347833</v>
      </c>
      <c r="R53" s="170"/>
      <c r="S53" s="27">
        <v>0.70833333333333337</v>
      </c>
      <c r="T53" s="27">
        <v>0.74027777777777781</v>
      </c>
      <c r="U53" s="4" t="str">
        <f t="shared" si="38"/>
        <v/>
      </c>
      <c r="V53" s="21">
        <f t="shared" si="37"/>
        <v>46</v>
      </c>
      <c r="W53" s="22"/>
      <c r="X53" s="22"/>
      <c r="Y53" s="25"/>
      <c r="Z53" s="25"/>
      <c r="AA53" s="162"/>
      <c r="AB53" s="162"/>
      <c r="AC53" s="24"/>
      <c r="AD53" s="24"/>
      <c r="AE53" s="18">
        <f t="shared" si="8"/>
        <v>-41.73913043478251</v>
      </c>
      <c r="AF53" s="20">
        <f t="shared" si="9"/>
        <v>0.97217391304347833</v>
      </c>
      <c r="AG53" s="170"/>
    </row>
    <row r="54" spans="1:33" ht="15.75" customHeight="1">
      <c r="A54" s="178" t="s">
        <v>1971</v>
      </c>
      <c r="B54" s="35" t="s">
        <v>78</v>
      </c>
      <c r="C54" s="39" t="s">
        <v>119</v>
      </c>
      <c r="D54" s="40"/>
      <c r="E54" s="35">
        <v>54.29</v>
      </c>
      <c r="F54" s="38">
        <v>1395</v>
      </c>
      <c r="G54" s="4">
        <f t="shared" si="35"/>
        <v>75734.55</v>
      </c>
      <c r="H54" s="21" t="s">
        <v>133</v>
      </c>
      <c r="I54" s="15">
        <v>20</v>
      </c>
      <c r="J54" s="17">
        <v>2000</v>
      </c>
      <c r="K54" s="16">
        <f t="shared" si="1"/>
        <v>100</v>
      </c>
      <c r="L54" s="15">
        <v>20</v>
      </c>
      <c r="M54" s="17">
        <f t="shared" si="39"/>
        <v>1902.2727272727273</v>
      </c>
      <c r="N54" s="17">
        <f t="shared" si="3"/>
        <v>95.11363636363636</v>
      </c>
      <c r="O54" s="18">
        <f t="shared" si="4"/>
        <v>0</v>
      </c>
      <c r="P54" s="19">
        <f t="shared" si="5"/>
        <v>-4.8863636363636402</v>
      </c>
      <c r="Q54" s="20">
        <f t="shared" si="6"/>
        <v>0.95113636363636356</v>
      </c>
      <c r="R54" s="170"/>
      <c r="S54" s="27">
        <v>0.74375000000000002</v>
      </c>
      <c r="T54" s="27">
        <v>0.77430555555555558</v>
      </c>
      <c r="U54" s="4">
        <f t="shared" si="38"/>
        <v>4.9999999999999822</v>
      </c>
      <c r="V54" s="21">
        <f t="shared" si="37"/>
        <v>44</v>
      </c>
      <c r="W54" s="22"/>
      <c r="X54" s="22"/>
      <c r="Y54" s="25"/>
      <c r="Z54" s="25"/>
      <c r="AA54" s="162"/>
      <c r="AB54" s="162"/>
      <c r="AC54" s="24"/>
      <c r="AD54" s="24"/>
      <c r="AE54" s="18">
        <f t="shared" si="8"/>
        <v>-97.727272727272748</v>
      </c>
      <c r="AF54" s="20">
        <f t="shared" si="9"/>
        <v>0.95113636363636367</v>
      </c>
      <c r="AG54" s="170"/>
    </row>
    <row r="55" spans="1:33" ht="15.75" customHeight="1">
      <c r="A55" s="178" t="s">
        <v>72</v>
      </c>
      <c r="B55" s="35" t="s">
        <v>78</v>
      </c>
      <c r="C55" s="174" t="s">
        <v>120</v>
      </c>
      <c r="D55" s="175"/>
      <c r="E55" s="35">
        <v>55.56</v>
      </c>
      <c r="F55" s="38">
        <v>1000</v>
      </c>
      <c r="G55" s="4">
        <f t="shared" si="35"/>
        <v>55560</v>
      </c>
      <c r="H55" s="21">
        <v>2</v>
      </c>
      <c r="I55" s="15">
        <v>17</v>
      </c>
      <c r="J55" s="17">
        <v>2000</v>
      </c>
      <c r="K55" s="16">
        <f t="shared" si="1"/>
        <v>117.64705882352941</v>
      </c>
      <c r="L55" s="15">
        <v>17</v>
      </c>
      <c r="M55" s="17">
        <f t="shared" si="39"/>
        <v>1935.483870967739</v>
      </c>
      <c r="N55" s="17">
        <f t="shared" si="3"/>
        <v>113.85199240986699</v>
      </c>
      <c r="O55" s="18">
        <f t="shared" si="4"/>
        <v>0</v>
      </c>
      <c r="P55" s="19">
        <f t="shared" si="5"/>
        <v>-3.7950664136624113</v>
      </c>
      <c r="Q55" s="20">
        <f t="shared" si="6"/>
        <v>0.96774193548386955</v>
      </c>
      <c r="R55" s="170"/>
      <c r="S55" s="27">
        <v>0.77847222222222223</v>
      </c>
      <c r="T55" s="27">
        <v>0.8</v>
      </c>
      <c r="U55" s="4">
        <f t="shared" si="38"/>
        <v>5.9999999999999787</v>
      </c>
      <c r="V55" s="21">
        <f t="shared" si="37"/>
        <v>31.00000000000005</v>
      </c>
      <c r="W55" s="22"/>
      <c r="X55" s="22"/>
      <c r="Y55" s="25"/>
      <c r="Z55" s="25"/>
      <c r="AA55" s="176"/>
      <c r="AB55" s="177"/>
      <c r="AC55" s="24"/>
      <c r="AD55" s="24"/>
      <c r="AE55" s="18">
        <f t="shared" si="8"/>
        <v>-64.516129032261006</v>
      </c>
      <c r="AF55" s="20">
        <f t="shared" si="9"/>
        <v>0.96774193548386944</v>
      </c>
      <c r="AG55" s="170"/>
    </row>
    <row r="56" spans="1:33" ht="15.75" customHeight="1">
      <c r="A56" s="178" t="s">
        <v>1971</v>
      </c>
      <c r="B56" s="35" t="s">
        <v>78</v>
      </c>
      <c r="C56" s="174" t="s">
        <v>121</v>
      </c>
      <c r="D56" s="175"/>
      <c r="E56" s="35">
        <v>55.32</v>
      </c>
      <c r="F56" s="38">
        <v>1631</v>
      </c>
      <c r="G56" s="4">
        <f t="shared" si="35"/>
        <v>90226.92</v>
      </c>
      <c r="H56" s="21" t="s">
        <v>133</v>
      </c>
      <c r="I56" s="15">
        <v>15</v>
      </c>
      <c r="J56" s="17">
        <v>2000</v>
      </c>
      <c r="K56" s="16">
        <f t="shared" si="1"/>
        <v>133.33333333333334</v>
      </c>
      <c r="L56" s="15">
        <v>15</v>
      </c>
      <c r="M56" s="17">
        <f t="shared" si="39"/>
        <v>1918.8235294117655</v>
      </c>
      <c r="N56" s="17">
        <f t="shared" si="3"/>
        <v>127.92156862745104</v>
      </c>
      <c r="O56" s="18">
        <f t="shared" si="4"/>
        <v>0</v>
      </c>
      <c r="P56" s="19">
        <f t="shared" si="5"/>
        <v>-5.4117647058823053</v>
      </c>
      <c r="Q56" s="20">
        <f t="shared" si="6"/>
        <v>0.95941176470588274</v>
      </c>
      <c r="R56" s="170"/>
      <c r="S56" s="27">
        <v>0.80555555555555558</v>
      </c>
      <c r="T56" s="27">
        <v>0.84097222222222223</v>
      </c>
      <c r="U56" s="4">
        <f t="shared" si="38"/>
        <v>7.9999999999999716</v>
      </c>
      <c r="V56" s="21">
        <f t="shared" si="37"/>
        <v>50.999999999999979</v>
      </c>
      <c r="W56" s="22">
        <f>T56</f>
        <v>0.84097222222222223</v>
      </c>
      <c r="X56" s="22">
        <f>S57</f>
        <v>0.88263888888888886</v>
      </c>
      <c r="Y56" s="25"/>
      <c r="Z56" s="25"/>
      <c r="AA56" s="176"/>
      <c r="AB56" s="177"/>
      <c r="AC56" s="24"/>
      <c r="AD56" s="24"/>
      <c r="AE56" s="18">
        <f t="shared" si="8"/>
        <v>-81.176470588234451</v>
      </c>
      <c r="AF56" s="20">
        <f t="shared" si="9"/>
        <v>0.95941176470588274</v>
      </c>
      <c r="AG56" s="170"/>
    </row>
    <row r="57" spans="1:33" ht="15.75" customHeight="1">
      <c r="A57" s="178" t="s">
        <v>72</v>
      </c>
      <c r="B57" s="35" t="s">
        <v>78</v>
      </c>
      <c r="C57" s="174" t="s">
        <v>120</v>
      </c>
      <c r="D57" s="175"/>
      <c r="E57" s="35">
        <v>55.56</v>
      </c>
      <c r="F57" s="38">
        <v>1230</v>
      </c>
      <c r="G57" s="4">
        <f t="shared" si="35"/>
        <v>68338.8</v>
      </c>
      <c r="H57" s="21" t="s">
        <v>133</v>
      </c>
      <c r="I57" s="15">
        <v>17</v>
      </c>
      <c r="J57" s="17">
        <v>2000</v>
      </c>
      <c r="K57" s="16">
        <f t="shared" si="1"/>
        <v>117.64705882352941</v>
      </c>
      <c r="L57" s="15">
        <v>17</v>
      </c>
      <c r="M57" s="17">
        <f t="shared" si="39"/>
        <v>1942.1052631578932</v>
      </c>
      <c r="N57" s="17">
        <f t="shared" si="3"/>
        <v>114.24148606811137</v>
      </c>
      <c r="O57" s="18">
        <f t="shared" si="4"/>
        <v>0</v>
      </c>
      <c r="P57" s="19">
        <f t="shared" si="5"/>
        <v>-3.4055727554180351</v>
      </c>
      <c r="Q57" s="20">
        <f t="shared" si="6"/>
        <v>0.97105263157894672</v>
      </c>
      <c r="R57" s="170"/>
      <c r="S57" s="27">
        <v>0.88263888888888886</v>
      </c>
      <c r="T57" s="27">
        <v>0.90902777777777777</v>
      </c>
      <c r="U57" s="4">
        <f t="shared" si="38"/>
        <v>59.999999999999943</v>
      </c>
      <c r="V57" s="21">
        <f t="shared" si="37"/>
        <v>38.000000000000028</v>
      </c>
      <c r="W57" s="22"/>
      <c r="X57" s="22"/>
      <c r="Y57" s="25"/>
      <c r="Z57" s="25"/>
      <c r="AA57" s="176"/>
      <c r="AB57" s="177"/>
      <c r="AC57" s="24"/>
      <c r="AD57" s="24"/>
      <c r="AE57" s="18">
        <f t="shared" si="8"/>
        <v>-57.894736842106795</v>
      </c>
      <c r="AF57" s="20">
        <f t="shared" si="9"/>
        <v>0.97105263157894661</v>
      </c>
      <c r="AG57" s="170"/>
    </row>
    <row r="58" spans="1:33">
      <c r="A58" s="179" t="s">
        <v>72</v>
      </c>
      <c r="B58" s="35" t="s">
        <v>48</v>
      </c>
      <c r="C58" s="171"/>
      <c r="D58" s="171"/>
      <c r="E58" s="36"/>
      <c r="F58" s="16"/>
      <c r="G58" s="16"/>
      <c r="H58" s="4"/>
      <c r="I58" s="29">
        <v>18.625</v>
      </c>
      <c r="J58" s="17">
        <v>1937.5</v>
      </c>
      <c r="K58" s="16">
        <f t="shared" si="1"/>
        <v>104.02684563758389</v>
      </c>
      <c r="L58" s="29">
        <v>18.625</v>
      </c>
      <c r="M58" s="17">
        <f>AVERAGE(M50:M57)</f>
        <v>1846.0285296399411</v>
      </c>
      <c r="N58" s="16">
        <f t="shared" si="3"/>
        <v>99.115625752480057</v>
      </c>
      <c r="O58" s="18">
        <f t="shared" si="4"/>
        <v>0</v>
      </c>
      <c r="P58" s="19">
        <f t="shared" si="5"/>
        <v>-4.9112198851038329</v>
      </c>
      <c r="Q58" s="20">
        <f t="shared" si="6"/>
        <v>0.95278891852384062</v>
      </c>
      <c r="R58" s="170"/>
      <c r="S58" s="27"/>
      <c r="T58" s="27"/>
      <c r="U58" s="4"/>
      <c r="V58" s="21"/>
      <c r="W58" s="16"/>
      <c r="X58" s="16"/>
      <c r="Y58" s="30">
        <f>SUM(Y50:Y57)</f>
        <v>0</v>
      </c>
      <c r="Z58" s="30">
        <f>SUM(Z50:Z57)</f>
        <v>0</v>
      </c>
      <c r="AA58" s="166"/>
      <c r="AB58" s="166"/>
      <c r="AC58" s="30">
        <v>8</v>
      </c>
      <c r="AD58" s="30">
        <f>SUM(AD50:AD57)</f>
        <v>0</v>
      </c>
      <c r="AE58" s="18">
        <f>M58-J58</f>
        <v>-91.471470360058902</v>
      </c>
      <c r="AF58" s="20">
        <f t="shared" si="9"/>
        <v>0.95278891852384062</v>
      </c>
      <c r="AG58" s="170"/>
    </row>
    <row r="59" spans="1:33" ht="15.75" customHeight="1">
      <c r="A59" s="172" t="s">
        <v>1972</v>
      </c>
      <c r="B59" s="4" t="s">
        <v>108</v>
      </c>
      <c r="C59" s="163" t="s">
        <v>125</v>
      </c>
      <c r="D59" s="163"/>
      <c r="E59" s="35">
        <v>37.85</v>
      </c>
      <c r="F59" s="38">
        <v>1482</v>
      </c>
      <c r="G59" s="4">
        <f t="shared" ref="G59:G63" si="40">E59*F59</f>
        <v>56093.700000000004</v>
      </c>
      <c r="H59" s="21" t="s">
        <v>133</v>
      </c>
      <c r="I59" s="15">
        <v>12</v>
      </c>
      <c r="J59" s="17">
        <v>2000</v>
      </c>
      <c r="K59" s="16">
        <f t="shared" si="1"/>
        <v>166.66666666666666</v>
      </c>
      <c r="L59" s="15">
        <v>12</v>
      </c>
      <c r="M59" s="17">
        <f t="shared" ref="M59:M63" si="41">F59/V59*60</f>
        <v>1933.0434782608697</v>
      </c>
      <c r="N59" s="16">
        <f t="shared" si="3"/>
        <v>161.08695652173915</v>
      </c>
      <c r="O59" s="18">
        <f t="shared" si="4"/>
        <v>0</v>
      </c>
      <c r="P59" s="19">
        <f t="shared" si="5"/>
        <v>-5.5797101449275033</v>
      </c>
      <c r="Q59" s="20">
        <f t="shared" si="6"/>
        <v>0.96652173913043493</v>
      </c>
      <c r="R59" s="170">
        <f>Q64</f>
        <v>0.95833099106700115</v>
      </c>
      <c r="S59" s="27">
        <v>0.20833333333333334</v>
      </c>
      <c r="T59" s="27">
        <v>0.24027777777777778</v>
      </c>
      <c r="U59" s="4"/>
      <c r="V59" s="21">
        <f t="shared" ref="V59:V63" si="42">(T59-S59)*24*60</f>
        <v>46</v>
      </c>
      <c r="W59" s="27"/>
      <c r="X59" s="27"/>
      <c r="Y59" s="27"/>
      <c r="Z59" s="27"/>
      <c r="AA59" s="162"/>
      <c r="AB59" s="162"/>
      <c r="AC59" s="24">
        <v>5</v>
      </c>
      <c r="AD59" s="24"/>
      <c r="AE59" s="18">
        <f t="shared" ref="AE59:AE71" si="43">M59-J59</f>
        <v>-66.956521739130267</v>
      </c>
      <c r="AF59" s="20">
        <f t="shared" si="9"/>
        <v>0.96652173913043482</v>
      </c>
      <c r="AG59" s="170">
        <f>AF64</f>
        <v>0.95833099106700115</v>
      </c>
    </row>
    <row r="60" spans="1:33" ht="15.75" customHeight="1">
      <c r="A60" s="172" t="s">
        <v>1972</v>
      </c>
      <c r="B60" s="4" t="s">
        <v>108</v>
      </c>
      <c r="C60" s="163" t="s">
        <v>126</v>
      </c>
      <c r="D60" s="163"/>
      <c r="E60" s="35">
        <v>34.36</v>
      </c>
      <c r="F60" s="38">
        <v>2157</v>
      </c>
      <c r="G60" s="4">
        <f t="shared" si="40"/>
        <v>74114.52</v>
      </c>
      <c r="H60" s="21" t="s">
        <v>133</v>
      </c>
      <c r="I60" s="15">
        <v>10</v>
      </c>
      <c r="J60" s="17">
        <v>3000</v>
      </c>
      <c r="K60" s="16">
        <f t="shared" si="1"/>
        <v>300</v>
      </c>
      <c r="L60" s="15">
        <v>10</v>
      </c>
      <c r="M60" s="17">
        <f t="shared" si="41"/>
        <v>2875.9999999999973</v>
      </c>
      <c r="N60" s="16">
        <f t="shared" si="3"/>
        <v>287.59999999999974</v>
      </c>
      <c r="O60" s="18">
        <f t="shared" si="4"/>
        <v>0</v>
      </c>
      <c r="P60" s="19">
        <f t="shared" si="5"/>
        <v>-12.400000000000261</v>
      </c>
      <c r="Q60" s="20">
        <f t="shared" si="6"/>
        <v>0.95866666666666578</v>
      </c>
      <c r="R60" s="170"/>
      <c r="S60" s="27">
        <v>0.24374999999999999</v>
      </c>
      <c r="T60" s="27">
        <v>0.27500000000000002</v>
      </c>
      <c r="U60" s="4">
        <f t="shared" ref="U60:U63" si="44">(S60-T59)*24*60</f>
        <v>4.9999999999999822</v>
      </c>
      <c r="V60" s="21">
        <f t="shared" si="42"/>
        <v>45.000000000000043</v>
      </c>
      <c r="W60" s="4"/>
      <c r="X60" s="4"/>
      <c r="Y60" s="4"/>
      <c r="Z60" s="4"/>
      <c r="AA60" s="162"/>
      <c r="AB60" s="162"/>
      <c r="AC60" s="24"/>
      <c r="AD60" s="24"/>
      <c r="AE60" s="18">
        <f t="shared" si="43"/>
        <v>-124.00000000000273</v>
      </c>
      <c r="AF60" s="20">
        <f t="shared" si="9"/>
        <v>0.95866666666666578</v>
      </c>
      <c r="AG60" s="170"/>
    </row>
    <row r="61" spans="1:33" ht="15.75" customHeight="1">
      <c r="A61" s="172" t="s">
        <v>1972</v>
      </c>
      <c r="B61" s="4" t="s">
        <v>108</v>
      </c>
      <c r="C61" s="163" t="s">
        <v>127</v>
      </c>
      <c r="D61" s="163"/>
      <c r="E61" s="35">
        <v>35.119999999999997</v>
      </c>
      <c r="F61" s="38">
        <v>6408</v>
      </c>
      <c r="G61" s="4">
        <f t="shared" si="40"/>
        <v>225048.95999999999</v>
      </c>
      <c r="H61" s="21" t="s">
        <v>133</v>
      </c>
      <c r="I61" s="15">
        <v>10</v>
      </c>
      <c r="J61" s="17">
        <v>3000</v>
      </c>
      <c r="K61" s="16">
        <f t="shared" si="1"/>
        <v>300</v>
      </c>
      <c r="L61" s="15">
        <v>10</v>
      </c>
      <c r="M61" s="17">
        <f t="shared" si="41"/>
        <v>2869.2537313432836</v>
      </c>
      <c r="N61" s="16">
        <f t="shared" si="3"/>
        <v>286.92537313432837</v>
      </c>
      <c r="O61" s="18">
        <f t="shared" si="4"/>
        <v>0</v>
      </c>
      <c r="P61" s="19">
        <f t="shared" si="5"/>
        <v>-13.074626865671632</v>
      </c>
      <c r="Q61" s="20">
        <f t="shared" si="6"/>
        <v>0.95641791044776125</v>
      </c>
      <c r="R61" s="170"/>
      <c r="S61" s="27">
        <v>0.27916666666666667</v>
      </c>
      <c r="T61" s="27">
        <v>0.37222222222222223</v>
      </c>
      <c r="U61" s="4">
        <f t="shared" si="44"/>
        <v>5.9999999999999787</v>
      </c>
      <c r="V61" s="21">
        <f t="shared" si="42"/>
        <v>134</v>
      </c>
      <c r="W61" s="4"/>
      <c r="X61" s="4"/>
      <c r="Y61" s="4"/>
      <c r="Z61" s="4"/>
      <c r="AA61" s="162"/>
      <c r="AB61" s="162"/>
      <c r="AC61" s="24"/>
      <c r="AD61" s="24"/>
      <c r="AE61" s="18">
        <f t="shared" si="43"/>
        <v>-130.74626865671644</v>
      </c>
      <c r="AF61" s="20">
        <f t="shared" si="9"/>
        <v>0.95641791044776114</v>
      </c>
      <c r="AG61" s="170"/>
    </row>
    <row r="62" spans="1:33" ht="15.75" customHeight="1">
      <c r="A62" s="172" t="s">
        <v>1972</v>
      </c>
      <c r="B62" s="4" t="s">
        <v>108</v>
      </c>
      <c r="C62" s="163" t="s">
        <v>109</v>
      </c>
      <c r="D62" s="163"/>
      <c r="E62" s="35">
        <v>34.36</v>
      </c>
      <c r="F62" s="38">
        <v>1970</v>
      </c>
      <c r="G62" s="4">
        <f t="shared" si="40"/>
        <v>67689.2</v>
      </c>
      <c r="H62" s="21" t="s">
        <v>133</v>
      </c>
      <c r="I62" s="15">
        <v>10</v>
      </c>
      <c r="J62" s="17">
        <v>3000</v>
      </c>
      <c r="K62" s="16">
        <f t="shared" si="1"/>
        <v>300</v>
      </c>
      <c r="L62" s="15">
        <v>10</v>
      </c>
      <c r="M62" s="17">
        <f t="shared" si="41"/>
        <v>2882.9268292682918</v>
      </c>
      <c r="N62" s="16">
        <f t="shared" si="3"/>
        <v>288.29268292682917</v>
      </c>
      <c r="O62" s="18">
        <f t="shared" si="4"/>
        <v>0</v>
      </c>
      <c r="P62" s="19">
        <f t="shared" si="5"/>
        <v>-11.707317073170827</v>
      </c>
      <c r="Q62" s="20">
        <f t="shared" si="6"/>
        <v>0.96097560975609719</v>
      </c>
      <c r="R62" s="170"/>
      <c r="S62" s="27">
        <v>0.37569444444444444</v>
      </c>
      <c r="T62" s="27">
        <v>0.40416666666666667</v>
      </c>
      <c r="U62" s="4">
        <f t="shared" si="44"/>
        <v>4.9999999999999822</v>
      </c>
      <c r="V62" s="21">
        <f t="shared" si="42"/>
        <v>41.000000000000014</v>
      </c>
      <c r="W62" s="4"/>
      <c r="X62" s="4"/>
      <c r="Y62" s="4"/>
      <c r="Z62" s="4"/>
      <c r="AA62" s="162"/>
      <c r="AB62" s="162"/>
      <c r="AC62" s="24"/>
      <c r="AD62" s="24"/>
      <c r="AE62" s="18">
        <f t="shared" si="43"/>
        <v>-117.07317073170816</v>
      </c>
      <c r="AF62" s="20">
        <f t="shared" si="9"/>
        <v>0.9609756097560973</v>
      </c>
      <c r="AG62" s="170"/>
    </row>
    <row r="63" spans="1:33">
      <c r="A63" s="173" t="s">
        <v>1972</v>
      </c>
      <c r="B63" s="4" t="s">
        <v>108</v>
      </c>
      <c r="C63" s="163" t="s">
        <v>110</v>
      </c>
      <c r="D63" s="163"/>
      <c r="E63" s="35">
        <v>26.78</v>
      </c>
      <c r="F63" s="38">
        <v>2903</v>
      </c>
      <c r="G63" s="4">
        <f t="shared" si="40"/>
        <v>77742.34</v>
      </c>
      <c r="H63" s="21" t="s">
        <v>133</v>
      </c>
      <c r="I63" s="15">
        <v>10</v>
      </c>
      <c r="J63" s="17">
        <v>3000</v>
      </c>
      <c r="K63" s="16">
        <f t="shared" si="1"/>
        <v>300</v>
      </c>
      <c r="L63" s="15">
        <v>10</v>
      </c>
      <c r="M63" s="17">
        <f t="shared" si="41"/>
        <v>2855.409836065573</v>
      </c>
      <c r="N63" s="16">
        <f t="shared" si="3"/>
        <v>285.54098360655729</v>
      </c>
      <c r="O63" s="18">
        <f t="shared" si="4"/>
        <v>0</v>
      </c>
      <c r="P63" s="19">
        <f t="shared" si="5"/>
        <v>-14.45901639344271</v>
      </c>
      <c r="Q63" s="20">
        <f t="shared" si="6"/>
        <v>0.95180327868852432</v>
      </c>
      <c r="R63" s="170"/>
      <c r="S63" s="27">
        <v>0.40972222222222221</v>
      </c>
      <c r="T63" s="27">
        <v>0.45208333333333334</v>
      </c>
      <c r="U63" s="4">
        <f t="shared" si="44"/>
        <v>7.9999999999999716</v>
      </c>
      <c r="V63" s="21">
        <f t="shared" si="42"/>
        <v>61.000000000000021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-144.59016393442698</v>
      </c>
      <c r="AF63" s="20">
        <f t="shared" si="9"/>
        <v>0.95180327868852432</v>
      </c>
      <c r="AG63" s="170"/>
    </row>
    <row r="64" spans="1:33">
      <c r="A64" s="173" t="s">
        <v>1972</v>
      </c>
      <c r="B64" s="35" t="s">
        <v>1973</v>
      </c>
      <c r="C64" s="171"/>
      <c r="D64" s="171"/>
      <c r="E64" s="36"/>
      <c r="F64" s="16"/>
      <c r="G64" s="16"/>
      <c r="H64" s="4"/>
      <c r="I64" s="29">
        <v>10.4</v>
      </c>
      <c r="J64" s="17">
        <v>2800</v>
      </c>
      <c r="K64" s="16">
        <f t="shared" si="1"/>
        <v>269.23076923076923</v>
      </c>
      <c r="L64" s="29">
        <v>10.4</v>
      </c>
      <c r="M64" s="17">
        <f>AVERAGE(M59:M63)</f>
        <v>2683.3267749876031</v>
      </c>
      <c r="N64" s="16">
        <f t="shared" si="3"/>
        <v>258.01218990265414</v>
      </c>
      <c r="O64" s="18">
        <f t="shared" si="4"/>
        <v>0</v>
      </c>
      <c r="P64" s="19">
        <f t="shared" si="5"/>
        <v>-11.218579328115084</v>
      </c>
      <c r="Q64" s="20">
        <f t="shared" si="6"/>
        <v>0.95833099106700115</v>
      </c>
      <c r="R64" s="170"/>
      <c r="S64" s="27"/>
      <c r="T64" s="27"/>
      <c r="U64" s="16"/>
      <c r="V64" s="21"/>
      <c r="W64" s="16"/>
      <c r="X64" s="16"/>
      <c r="Y64" s="30">
        <f>SUM(Y59:Y63)</f>
        <v>0</v>
      </c>
      <c r="Z64" s="30">
        <f>SUM(Z59:Z63)</f>
        <v>0</v>
      </c>
      <c r="AA64" s="166"/>
      <c r="AB64" s="166"/>
      <c r="AC64" s="30">
        <v>5</v>
      </c>
      <c r="AD64" s="30">
        <f>SUM(AD59:AD63)</f>
        <v>0</v>
      </c>
      <c r="AE64" s="18">
        <f t="shared" si="43"/>
        <v>-116.67322501239687</v>
      </c>
      <c r="AF64" s="20">
        <f t="shared" si="9"/>
        <v>0.95833099106700115</v>
      </c>
      <c r="AG64" s="170"/>
    </row>
    <row r="65" spans="1:33" ht="15.75" customHeight="1">
      <c r="A65" s="167" t="s">
        <v>1974</v>
      </c>
      <c r="B65" s="4" t="s">
        <v>97</v>
      </c>
      <c r="C65" s="163" t="s">
        <v>128</v>
      </c>
      <c r="D65" s="163"/>
      <c r="E65" s="35">
        <v>20.2</v>
      </c>
      <c r="F65" s="4">
        <v>2706</v>
      </c>
      <c r="G65" s="4">
        <f t="shared" ref="G65:G70" si="45">E65*F65</f>
        <v>54661.2</v>
      </c>
      <c r="H65" s="21" t="s">
        <v>133</v>
      </c>
      <c r="I65" s="15">
        <v>15</v>
      </c>
      <c r="J65" s="17">
        <v>2400</v>
      </c>
      <c r="K65" s="16">
        <f t="shared" si="1"/>
        <v>160</v>
      </c>
      <c r="L65" s="15">
        <v>15</v>
      </c>
      <c r="M65" s="17">
        <f t="shared" ref="M65:M70" si="46">F65/V65*60</f>
        <v>2286.7605633802809</v>
      </c>
      <c r="N65" s="16">
        <f t="shared" si="3"/>
        <v>152.45070422535207</v>
      </c>
      <c r="O65" s="18">
        <f t="shared" si="4"/>
        <v>0</v>
      </c>
      <c r="P65" s="19">
        <f t="shared" si="5"/>
        <v>-7.5492957746479306</v>
      </c>
      <c r="Q65" s="20">
        <f t="shared" si="6"/>
        <v>0.95281690140845043</v>
      </c>
      <c r="R65" s="170">
        <f>Q71</f>
        <v>0.9539914119142211</v>
      </c>
      <c r="S65" s="27">
        <v>8.3333333333333329E-2</v>
      </c>
      <c r="T65" s="27">
        <v>0.13263888888888889</v>
      </c>
      <c r="U65" s="27"/>
      <c r="V65" s="21">
        <f t="shared" ref="V65:V70" si="47">(T65-S65)*24*60</f>
        <v>71.000000000000014</v>
      </c>
      <c r="W65" s="22">
        <f>T65</f>
        <v>0.13263888888888889</v>
      </c>
      <c r="X65" s="22">
        <f>S66</f>
        <v>0.15138888888888888</v>
      </c>
      <c r="Y65" s="22"/>
      <c r="Z65" s="22"/>
      <c r="AA65" s="162"/>
      <c r="AB65" s="162"/>
      <c r="AC65" s="24">
        <v>6</v>
      </c>
      <c r="AD65" s="24"/>
      <c r="AE65" s="18">
        <f t="shared" si="43"/>
        <v>-113.23943661971907</v>
      </c>
      <c r="AF65" s="20">
        <f t="shared" si="9"/>
        <v>0.95281690140845043</v>
      </c>
      <c r="AG65" s="170">
        <f>AF71</f>
        <v>0.9539914119142211</v>
      </c>
    </row>
    <row r="66" spans="1:33" ht="15.75" customHeight="1">
      <c r="A66" s="168" t="s">
        <v>1974</v>
      </c>
      <c r="B66" s="4" t="s">
        <v>97</v>
      </c>
      <c r="C66" s="163" t="s">
        <v>129</v>
      </c>
      <c r="D66" s="163"/>
      <c r="E66" s="35">
        <v>24.45</v>
      </c>
      <c r="F66" s="4">
        <v>3210</v>
      </c>
      <c r="G66" s="4">
        <f t="shared" si="45"/>
        <v>78484.5</v>
      </c>
      <c r="H66" s="21" t="s">
        <v>133</v>
      </c>
      <c r="I66" s="15">
        <v>19</v>
      </c>
      <c r="J66" s="17">
        <v>2400</v>
      </c>
      <c r="K66" s="16">
        <f t="shared" si="1"/>
        <v>126.31578947368421</v>
      </c>
      <c r="L66" s="15">
        <v>19</v>
      </c>
      <c r="M66" s="17">
        <f t="shared" si="46"/>
        <v>2292.8571428571431</v>
      </c>
      <c r="N66" s="16">
        <f t="shared" si="3"/>
        <v>120.67669172932332</v>
      </c>
      <c r="O66" s="18">
        <f t="shared" si="4"/>
        <v>0</v>
      </c>
      <c r="P66" s="19">
        <f t="shared" si="5"/>
        <v>-5.6390977443608818</v>
      </c>
      <c r="Q66" s="20">
        <f t="shared" si="6"/>
        <v>0.95535714285714302</v>
      </c>
      <c r="R66" s="170"/>
      <c r="S66" s="27">
        <v>0.15138888888888888</v>
      </c>
      <c r="T66" s="27">
        <v>0.2097222222222222</v>
      </c>
      <c r="U66" s="4">
        <f t="shared" ref="U66:U70" si="48">(S66-T65)*24*60</f>
        <v>26.999999999999986</v>
      </c>
      <c r="V66" s="21">
        <f t="shared" si="47"/>
        <v>83.999999999999986</v>
      </c>
      <c r="W66" s="22"/>
      <c r="X66" s="22"/>
      <c r="Y66" s="22"/>
      <c r="Z66" s="22"/>
      <c r="AA66" s="162"/>
      <c r="AB66" s="162"/>
      <c r="AC66" s="24"/>
      <c r="AD66" s="24"/>
      <c r="AE66" s="18">
        <f t="shared" si="43"/>
        <v>-107.14285714285688</v>
      </c>
      <c r="AF66" s="20">
        <f t="shared" si="9"/>
        <v>0.95535714285714302</v>
      </c>
      <c r="AG66" s="170"/>
    </row>
    <row r="67" spans="1:33" ht="15.75" customHeight="1">
      <c r="A67" s="168" t="s">
        <v>1974</v>
      </c>
      <c r="B67" s="4" t="s">
        <v>97</v>
      </c>
      <c r="C67" s="163" t="s">
        <v>106</v>
      </c>
      <c r="D67" s="163"/>
      <c r="E67" s="35">
        <v>20.21</v>
      </c>
      <c r="F67" s="4">
        <v>3242</v>
      </c>
      <c r="G67" s="4">
        <f t="shared" si="45"/>
        <v>65520.82</v>
      </c>
      <c r="H67" s="21" t="s">
        <v>133</v>
      </c>
      <c r="I67" s="15">
        <v>15</v>
      </c>
      <c r="J67" s="17">
        <v>2400</v>
      </c>
      <c r="K67" s="16">
        <f t="shared" si="1"/>
        <v>160</v>
      </c>
      <c r="L67" s="15">
        <v>15</v>
      </c>
      <c r="M67" s="17">
        <f t="shared" si="46"/>
        <v>2288.4705882352951</v>
      </c>
      <c r="N67" s="16">
        <f t="shared" si="3"/>
        <v>152.564705882353</v>
      </c>
      <c r="O67" s="18">
        <f t="shared" si="4"/>
        <v>0</v>
      </c>
      <c r="P67" s="19">
        <f t="shared" si="5"/>
        <v>-7.435294117647004</v>
      </c>
      <c r="Q67" s="20">
        <f t="shared" si="6"/>
        <v>0.95352941176470618</v>
      </c>
      <c r="R67" s="170"/>
      <c r="S67" s="27">
        <v>0.21458333333333332</v>
      </c>
      <c r="T67" s="27">
        <v>0.27361111111111108</v>
      </c>
      <c r="U67" s="4">
        <f t="shared" si="48"/>
        <v>7.0000000000000151</v>
      </c>
      <c r="V67" s="21">
        <f t="shared" si="47"/>
        <v>84.999999999999972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3"/>
        <v>-111.52941176470495</v>
      </c>
      <c r="AF67" s="20">
        <f t="shared" si="9"/>
        <v>0.95352941176470629</v>
      </c>
      <c r="AG67" s="170"/>
    </row>
    <row r="68" spans="1:33" ht="15.75" customHeight="1">
      <c r="A68" s="168" t="s">
        <v>1974</v>
      </c>
      <c r="B68" s="4" t="s">
        <v>97</v>
      </c>
      <c r="C68" s="163" t="s">
        <v>130</v>
      </c>
      <c r="D68" s="163"/>
      <c r="E68" s="35">
        <v>24.43</v>
      </c>
      <c r="F68" s="4">
        <v>7696</v>
      </c>
      <c r="G68" s="4">
        <f t="shared" si="45"/>
        <v>188013.28</v>
      </c>
      <c r="H68" s="21" t="s">
        <v>133</v>
      </c>
      <c r="I68" s="15">
        <v>14</v>
      </c>
      <c r="J68" s="17">
        <v>2400</v>
      </c>
      <c r="K68" s="16">
        <f t="shared" si="1"/>
        <v>171.42857142857142</v>
      </c>
      <c r="L68" s="15">
        <v>14</v>
      </c>
      <c r="M68" s="17">
        <f t="shared" si="46"/>
        <v>2285.9405940594061</v>
      </c>
      <c r="N68" s="16">
        <f t="shared" si="3"/>
        <v>163.28147100424329</v>
      </c>
      <c r="O68" s="18">
        <f t="shared" si="4"/>
        <v>0</v>
      </c>
      <c r="P68" s="19">
        <f t="shared" si="5"/>
        <v>-8.14710042432813</v>
      </c>
      <c r="Q68" s="20">
        <f t="shared" si="6"/>
        <v>0.95247524752475254</v>
      </c>
      <c r="R68" s="170"/>
      <c r="S68" s="27">
        <v>0.27708333333333329</v>
      </c>
      <c r="T68" s="27">
        <v>0.41736111111111107</v>
      </c>
      <c r="U68" s="4">
        <f t="shared" si="48"/>
        <v>4.9999999999999822</v>
      </c>
      <c r="V68" s="21">
        <f t="shared" si="47"/>
        <v>202</v>
      </c>
      <c r="W68" s="22"/>
      <c r="X68" s="22"/>
      <c r="Y68" s="22"/>
      <c r="Z68" s="22"/>
      <c r="AA68" s="162"/>
      <c r="AB68" s="162"/>
      <c r="AC68" s="24"/>
      <c r="AD68" s="24"/>
      <c r="AE68" s="18">
        <f t="shared" si="43"/>
        <v>-114.05940594059393</v>
      </c>
      <c r="AF68" s="20">
        <f t="shared" si="9"/>
        <v>0.95247524752475254</v>
      </c>
      <c r="AG68" s="170"/>
    </row>
    <row r="69" spans="1:33" ht="15.75" customHeight="1">
      <c r="A69" s="168" t="s">
        <v>1974</v>
      </c>
      <c r="B69" s="4" t="s">
        <v>97</v>
      </c>
      <c r="C69" s="163" t="s">
        <v>132</v>
      </c>
      <c r="D69" s="163"/>
      <c r="E69" s="35">
        <v>19.02</v>
      </c>
      <c r="F69" s="4">
        <v>4100</v>
      </c>
      <c r="G69" s="4">
        <f t="shared" si="45"/>
        <v>77982</v>
      </c>
      <c r="H69" s="21">
        <v>2</v>
      </c>
      <c r="I69" s="15">
        <v>14</v>
      </c>
      <c r="J69" s="17">
        <v>2400</v>
      </c>
      <c r="K69" s="16">
        <f t="shared" ref="K69:K71" si="49">J69/I69</f>
        <v>171.42857142857142</v>
      </c>
      <c r="L69" s="15">
        <v>14</v>
      </c>
      <c r="M69" s="17">
        <f t="shared" si="46"/>
        <v>2299.0654205607475</v>
      </c>
      <c r="N69" s="16">
        <f t="shared" ref="N69:N71" si="50">M69/L69</f>
        <v>164.21895861148195</v>
      </c>
      <c r="O69" s="18">
        <f t="shared" ref="O69:O71" si="51">L69-I69</f>
        <v>0</v>
      </c>
      <c r="P69" s="19">
        <f t="shared" ref="P69:P71" si="52">N69-K69</f>
        <v>-7.2096128170894644</v>
      </c>
      <c r="Q69" s="20">
        <f t="shared" ref="Q69:Q71" si="53">N69/K69</f>
        <v>0.9579439252336448</v>
      </c>
      <c r="R69" s="170"/>
      <c r="S69" s="27">
        <v>0.42083333333333328</v>
      </c>
      <c r="T69" s="27">
        <v>0.49513888888888885</v>
      </c>
      <c r="U69" s="4">
        <f t="shared" si="48"/>
        <v>4.9999999999999822</v>
      </c>
      <c r="V69" s="21">
        <f t="shared" si="47"/>
        <v>107.00000000000001</v>
      </c>
      <c r="W69" s="22">
        <f>T69</f>
        <v>0.49513888888888885</v>
      </c>
      <c r="X69" s="22">
        <f>S70</f>
        <v>0.53402777777777777</v>
      </c>
      <c r="Y69" s="22"/>
      <c r="Z69" s="22"/>
      <c r="AA69" s="162"/>
      <c r="AB69" s="162"/>
      <c r="AC69" s="24"/>
      <c r="AD69" s="24"/>
      <c r="AE69" s="18">
        <f t="shared" si="43"/>
        <v>-100.9345794392525</v>
      </c>
      <c r="AF69" s="20">
        <f t="shared" ref="AF69:AF71" si="54">M69/J69</f>
        <v>0.9579439252336448</v>
      </c>
      <c r="AG69" s="170"/>
    </row>
    <row r="70" spans="1:33" ht="15.75" customHeight="1">
      <c r="A70" s="168" t="s">
        <v>1974</v>
      </c>
      <c r="B70" s="4" t="s">
        <v>97</v>
      </c>
      <c r="C70" s="163" t="s">
        <v>132</v>
      </c>
      <c r="D70" s="163"/>
      <c r="E70" s="35">
        <v>19.02</v>
      </c>
      <c r="F70" s="4">
        <v>6777</v>
      </c>
      <c r="G70" s="4">
        <f t="shared" si="45"/>
        <v>128898.54</v>
      </c>
      <c r="H70" s="21" t="s">
        <v>133</v>
      </c>
      <c r="I70" s="15">
        <v>14</v>
      </c>
      <c r="J70" s="17">
        <v>2400</v>
      </c>
      <c r="K70" s="16">
        <f t="shared" si="49"/>
        <v>171.42857142857142</v>
      </c>
      <c r="L70" s="15">
        <v>14</v>
      </c>
      <c r="M70" s="17">
        <f t="shared" si="46"/>
        <v>2284.3820224719102</v>
      </c>
      <c r="N70" s="16">
        <f t="shared" si="50"/>
        <v>163.1701444622793</v>
      </c>
      <c r="O70" s="18">
        <f t="shared" si="51"/>
        <v>0</v>
      </c>
      <c r="P70" s="19">
        <f t="shared" si="52"/>
        <v>-8.2584269662921201</v>
      </c>
      <c r="Q70" s="20">
        <f t="shared" si="53"/>
        <v>0.95182584269662929</v>
      </c>
      <c r="R70" s="170"/>
      <c r="S70" s="27">
        <v>0.53402777777777777</v>
      </c>
      <c r="T70" s="27">
        <v>0.65763888888888888</v>
      </c>
      <c r="U70" s="4">
        <f t="shared" si="48"/>
        <v>56.000000000000043</v>
      </c>
      <c r="V70" s="21">
        <f t="shared" si="47"/>
        <v>178</v>
      </c>
      <c r="W70" s="22"/>
      <c r="X70" s="22"/>
      <c r="Y70" s="22"/>
      <c r="Z70" s="22"/>
      <c r="AA70" s="162"/>
      <c r="AB70" s="162"/>
      <c r="AC70" s="24"/>
      <c r="AD70" s="24"/>
      <c r="AE70" s="18">
        <f t="shared" si="43"/>
        <v>-115.6179775280898</v>
      </c>
      <c r="AF70" s="20">
        <f t="shared" si="54"/>
        <v>0.95182584269662929</v>
      </c>
      <c r="AG70" s="170"/>
    </row>
    <row r="71" spans="1:33" ht="16.5" customHeight="1">
      <c r="A71" s="169" t="s">
        <v>1974</v>
      </c>
      <c r="B71" s="35" t="s">
        <v>1973</v>
      </c>
      <c r="C71" s="164"/>
      <c r="D71" s="165"/>
      <c r="E71" s="36"/>
      <c r="F71" s="16"/>
      <c r="G71" s="16"/>
      <c r="H71" s="4"/>
      <c r="I71" s="29">
        <v>15.166666666666666</v>
      </c>
      <c r="J71" s="17">
        <v>2400</v>
      </c>
      <c r="K71" s="16">
        <f t="shared" si="49"/>
        <v>158.24175824175825</v>
      </c>
      <c r="L71" s="29">
        <v>15.166666666666666</v>
      </c>
      <c r="M71" s="17">
        <f>AVERAGE(M65:M70)</f>
        <v>2289.5793885941307</v>
      </c>
      <c r="N71" s="16">
        <f t="shared" si="50"/>
        <v>150.96127836884378</v>
      </c>
      <c r="O71" s="18">
        <f t="shared" si="51"/>
        <v>0</v>
      </c>
      <c r="P71" s="19">
        <f t="shared" si="52"/>
        <v>-7.2804798729144693</v>
      </c>
      <c r="Q71" s="20">
        <f t="shared" si="53"/>
        <v>0.9539914119142211</v>
      </c>
      <c r="R71" s="170"/>
      <c r="S71" s="27"/>
      <c r="T71" s="27"/>
      <c r="U71" s="16"/>
      <c r="V71" s="21"/>
      <c r="W71" s="16"/>
      <c r="X71" s="16"/>
      <c r="Y71" s="30">
        <f>SUM(Y65:Y70)</f>
        <v>0</v>
      </c>
      <c r="Z71" s="30">
        <f>SUM(Z65:Z70)</f>
        <v>0</v>
      </c>
      <c r="AA71" s="166"/>
      <c r="AB71" s="166"/>
      <c r="AC71" s="30">
        <v>6</v>
      </c>
      <c r="AD71" s="30">
        <f>SUM(AD65:AD70)</f>
        <v>0</v>
      </c>
      <c r="AE71" s="18">
        <f t="shared" si="43"/>
        <v>-110.42061140586929</v>
      </c>
      <c r="AF71" s="20">
        <f t="shared" si="54"/>
        <v>0.9539914119142211</v>
      </c>
      <c r="AG71" s="170"/>
    </row>
    <row r="72" spans="1:33">
      <c r="D72" s="41"/>
      <c r="E72" s="41"/>
    </row>
  </sheetData>
  <mergeCells count="195">
    <mergeCell ref="A65:A71"/>
    <mergeCell ref="C65:D65"/>
    <mergeCell ref="R65:R71"/>
    <mergeCell ref="AA65:AB65"/>
    <mergeCell ref="AG65:AG71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59:A64"/>
    <mergeCell ref="C59:D59"/>
    <mergeCell ref="R59:R64"/>
    <mergeCell ref="AA59:AB59"/>
    <mergeCell ref="AA64:AB64"/>
    <mergeCell ref="AA54:AB54"/>
    <mergeCell ref="C55:D55"/>
    <mergeCell ref="AA55:AB55"/>
    <mergeCell ref="C56:D56"/>
    <mergeCell ref="AA56:AB56"/>
    <mergeCell ref="C57:D57"/>
    <mergeCell ref="AA57:AB57"/>
    <mergeCell ref="A50:A58"/>
    <mergeCell ref="C50:D50"/>
    <mergeCell ref="R50:R58"/>
    <mergeCell ref="AA50:AB50"/>
    <mergeCell ref="AG50:AG58"/>
    <mergeCell ref="C51:D51"/>
    <mergeCell ref="AA51:AB51"/>
    <mergeCell ref="C52:D52"/>
    <mergeCell ref="AA52:AB52"/>
    <mergeCell ref="AA53:AB53"/>
    <mergeCell ref="AG44:AG49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C58:D58"/>
    <mergeCell ref="AA58:AB58"/>
    <mergeCell ref="AG35:AG43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C35:D35"/>
    <mergeCell ref="R35:R43"/>
    <mergeCell ref="AA35:AB35"/>
    <mergeCell ref="AA40:AB40"/>
    <mergeCell ref="C41:D41"/>
    <mergeCell ref="AA41:AB41"/>
    <mergeCell ref="C42:D42"/>
    <mergeCell ref="AA42:AB42"/>
    <mergeCell ref="A27:A34"/>
    <mergeCell ref="C27:D27"/>
    <mergeCell ref="R27:R34"/>
    <mergeCell ref="AA27:AB27"/>
    <mergeCell ref="C34:D34"/>
    <mergeCell ref="AA34:AB34"/>
    <mergeCell ref="A44:A49"/>
    <mergeCell ref="C44:D44"/>
    <mergeCell ref="R44:R49"/>
    <mergeCell ref="AA44:AB44"/>
    <mergeCell ref="AA49:AB49"/>
    <mergeCell ref="A35:A43"/>
    <mergeCell ref="AA15:AB15"/>
    <mergeCell ref="C16:D16"/>
    <mergeCell ref="AA16:AB16"/>
    <mergeCell ref="C17:D17"/>
    <mergeCell ref="AA17:AB17"/>
    <mergeCell ref="C43:D43"/>
    <mergeCell ref="AA43:AB43"/>
    <mergeCell ref="C32:D32"/>
    <mergeCell ref="AA32:AB32"/>
    <mergeCell ref="C33:D33"/>
    <mergeCell ref="AA33:AB33"/>
    <mergeCell ref="AG27:AG34"/>
    <mergeCell ref="C28:D28"/>
    <mergeCell ref="AA28:AB28"/>
    <mergeCell ref="C29:D29"/>
    <mergeCell ref="AA29:AB29"/>
    <mergeCell ref="C30:D30"/>
    <mergeCell ref="AA23:AB23"/>
    <mergeCell ref="C24:D24"/>
    <mergeCell ref="AA24:AB24"/>
    <mergeCell ref="C25:D25"/>
    <mergeCell ref="AA25:AB25"/>
    <mergeCell ref="C26:D26"/>
    <mergeCell ref="AA26:AB26"/>
    <mergeCell ref="AA30:AB30"/>
    <mergeCell ref="C31:D31"/>
    <mergeCell ref="AA31:AB31"/>
    <mergeCell ref="AG20:AG26"/>
    <mergeCell ref="C21:D21"/>
    <mergeCell ref="AA21:AB21"/>
    <mergeCell ref="C22:D22"/>
    <mergeCell ref="AA22:AB22"/>
    <mergeCell ref="C23:D23"/>
    <mergeCell ref="A10:A13"/>
    <mergeCell ref="C10:D10"/>
    <mergeCell ref="R10:R13"/>
    <mergeCell ref="AA10:AB10"/>
    <mergeCell ref="C18:D18"/>
    <mergeCell ref="AA18:AB18"/>
    <mergeCell ref="C19:D19"/>
    <mergeCell ref="AA19:AB19"/>
    <mergeCell ref="C14:D14"/>
    <mergeCell ref="R14:R19"/>
    <mergeCell ref="AA14:AB14"/>
    <mergeCell ref="A20:A26"/>
    <mergeCell ref="C20:D20"/>
    <mergeCell ref="R20:R26"/>
    <mergeCell ref="AA20:AB20"/>
    <mergeCell ref="A14:A19"/>
    <mergeCell ref="AG14:AG19"/>
    <mergeCell ref="C15:D15"/>
    <mergeCell ref="A5:A9"/>
    <mergeCell ref="C5:D5"/>
    <mergeCell ref="R5:R9"/>
    <mergeCell ref="AA5:AB5"/>
    <mergeCell ref="AG10:AG13"/>
    <mergeCell ref="C11:D11"/>
    <mergeCell ref="AA11:AB11"/>
    <mergeCell ref="C12:D12"/>
    <mergeCell ref="AA12:AB12"/>
    <mergeCell ref="C13:D13"/>
    <mergeCell ref="AA13:AB13"/>
    <mergeCell ref="AG5:AG9"/>
    <mergeCell ref="C6:D6"/>
    <mergeCell ref="AA6:AB6"/>
    <mergeCell ref="C7:D7"/>
    <mergeCell ref="AA7:AB7"/>
    <mergeCell ref="C8:D8"/>
    <mergeCell ref="AA8:AB8"/>
    <mergeCell ref="C9:D9"/>
    <mergeCell ref="AA9:AB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G3:AG4"/>
    <mergeCell ref="M3:M4"/>
    <mergeCell ref="AE3:AE4"/>
    <mergeCell ref="AF3:AF4"/>
    <mergeCell ref="K3:K4"/>
    <mergeCell ref="L3:L4"/>
    <mergeCell ref="H3:H4"/>
    <mergeCell ref="I3:I4"/>
    <mergeCell ref="J3:J4"/>
    <mergeCell ref="AC3:AD3"/>
  </mergeCells>
  <phoneticPr fontId="3" type="noConversion"/>
  <conditionalFormatting sqref="O5:O71">
    <cfRule type="cellIs" dxfId="194" priority="9" operator="greaterThan">
      <formula>0</formula>
    </cfRule>
  </conditionalFormatting>
  <conditionalFormatting sqref="P5:P71">
    <cfRule type="cellIs" dxfId="193" priority="1" operator="lessThan">
      <formula>0</formula>
    </cfRule>
  </conditionalFormatting>
  <conditionalFormatting sqref="Q5:Q71 AF5:AF71">
    <cfRule type="cellIs" dxfId="192" priority="10" operator="greaterThan">
      <formula>1</formula>
    </cfRule>
    <cfRule type="cellIs" dxfId="191" priority="11" operator="lessThan">
      <formula>0.8</formula>
    </cfRule>
  </conditionalFormatting>
  <conditionalFormatting sqref="R5:R10 AG5:AG10">
    <cfRule type="cellIs" dxfId="190" priority="52" operator="lessThan">
      <formula>0.8</formula>
    </cfRule>
  </conditionalFormatting>
  <conditionalFormatting sqref="AE5:AE71">
    <cfRule type="cellIs" dxfId="189" priority="12" operator="lessThan">
      <formula>0</formula>
    </cfRule>
  </conditionalFormatting>
  <conditionalFormatting sqref="AG14:AG62 R14:R71">
    <cfRule type="cellIs" dxfId="188" priority="13" operator="lessThan">
      <formula>0.8</formula>
    </cfRule>
  </conditionalFormatting>
  <dataValidations count="1">
    <dataValidation type="list" allowBlank="1" showInputMessage="1" showErrorMessage="1" sqref="AB9 AA5:AB8 AB63 AB11:AB59 AA9:AA63 AA64:AB71" xr:uid="{00000000-0002-0000-1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zoomScale="85" zoomScaleNormal="85" workbookViewId="0">
      <selection activeCell="B10" sqref="B10:C10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134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135</v>
      </c>
      <c r="C3" s="151" t="str">
        <f>TEXT('0321 4度C'!A2,"yyyy.mm.ddaaaa")</f>
        <v>2026.03.21星期六</v>
      </c>
      <c r="D3" s="152"/>
      <c r="E3" s="45" t="s">
        <v>1769</v>
      </c>
      <c r="F3" s="153">
        <f>'0321 4度C'!D1</f>
        <v>133569</v>
      </c>
      <c r="G3" s="154"/>
      <c r="H3" s="45" t="s">
        <v>1770</v>
      </c>
      <c r="I3" s="155">
        <f>'0321 4度C'!F1</f>
        <v>4464240.4999999991</v>
      </c>
      <c r="J3" s="156"/>
      <c r="K3" s="46"/>
      <c r="L3" s="47"/>
      <c r="M3" s="47"/>
      <c r="N3" s="47"/>
    </row>
    <row r="4" spans="2:17" ht="28.5" customHeight="1">
      <c r="B4" s="157" t="s">
        <v>1771</v>
      </c>
      <c r="C4" s="143" t="s">
        <v>1772</v>
      </c>
      <c r="D4" s="144"/>
      <c r="E4" s="160" t="s">
        <v>1773</v>
      </c>
      <c r="F4" s="161"/>
      <c r="G4" s="160" t="s">
        <v>1774</v>
      </c>
      <c r="H4" s="161"/>
      <c r="I4" s="160" t="s">
        <v>1775</v>
      </c>
      <c r="J4" s="161"/>
      <c r="K4" s="141" t="s">
        <v>1776</v>
      </c>
      <c r="L4" s="142"/>
      <c r="M4" s="142" t="s">
        <v>1777</v>
      </c>
      <c r="N4" s="142"/>
    </row>
    <row r="5" spans="2:17" ht="28.5" customHeight="1">
      <c r="B5" s="158"/>
      <c r="C5" s="143" t="s">
        <v>1778</v>
      </c>
      <c r="D5" s="144"/>
      <c r="E5" s="143" t="s">
        <v>1779</v>
      </c>
      <c r="F5" s="144"/>
      <c r="G5" s="145" t="s">
        <v>1780</v>
      </c>
      <c r="H5" s="146"/>
      <c r="I5" s="147" t="s">
        <v>1781</v>
      </c>
      <c r="J5" s="148"/>
      <c r="K5" s="48" t="s">
        <v>1782</v>
      </c>
      <c r="L5" s="49" t="s">
        <v>1783</v>
      </c>
      <c r="M5" s="48" t="s">
        <v>1782</v>
      </c>
      <c r="N5" s="49" t="s">
        <v>1784</v>
      </c>
    </row>
    <row r="6" spans="2:17" ht="28.5" customHeight="1">
      <c r="B6" s="158"/>
      <c r="C6" s="143" t="s">
        <v>153</v>
      </c>
      <c r="D6" s="144"/>
      <c r="E6" s="135">
        <f>AVERAGE(D13:M13)</f>
        <v>152.35547740163582</v>
      </c>
      <c r="F6" s="136">
        <f>AVERAGE(D31:O31,D13:J13)</f>
        <v>157.27317131426722</v>
      </c>
      <c r="G6" s="137">
        <f>AVERAGE(D13:J13)</f>
        <v>157.27317131426722</v>
      </c>
      <c r="H6" s="138"/>
      <c r="I6" s="137">
        <f>AVERAGE(K13:M13)</f>
        <v>140.88085827216261</v>
      </c>
      <c r="J6" s="138"/>
      <c r="K6" s="139">
        <f>'0321 4度C'!Y2</f>
        <v>0</v>
      </c>
      <c r="L6" s="124">
        <f>'0321 4度C'!Z2</f>
        <v>0</v>
      </c>
      <c r="M6" s="140">
        <f>'0321 4度C'!AC2</f>
        <v>47</v>
      </c>
      <c r="N6" s="124">
        <f>'0321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145.85962212666041</v>
      </c>
      <c r="F7" s="128">
        <f>AVERAGE(D32:O32,D14:J14)</f>
        <v>150.60219795777519</v>
      </c>
      <c r="G7" s="129">
        <f>AVERAGE(D14:J14)</f>
        <v>150.60219795777519</v>
      </c>
      <c r="H7" s="130"/>
      <c r="I7" s="129">
        <f>AVERAGE(K14:M14)</f>
        <v>134.79361185405924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0.95745208922643577</v>
      </c>
      <c r="F8" s="132">
        <f>AVERAGE(D15:J15,D33:O33)</f>
        <v>0.95777263551212122</v>
      </c>
      <c r="G8" s="133">
        <f>AVERAGE(D15:J15)</f>
        <v>0.95777263551212122</v>
      </c>
      <c r="H8" s="134"/>
      <c r="I8" s="133">
        <f>AVERAGE(K15:M15)</f>
        <v>0.95670414789316982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1785</v>
      </c>
      <c r="N9" s="47"/>
      <c r="O9" s="47"/>
      <c r="P9" s="47"/>
      <c r="Q9" s="47"/>
    </row>
    <row r="10" spans="2:17" ht="30" customHeight="1">
      <c r="B10" s="107" t="s">
        <v>1786</v>
      </c>
      <c r="C10" s="108"/>
      <c r="D10" s="109" t="s">
        <v>1787</v>
      </c>
      <c r="E10" s="110"/>
      <c r="F10" s="110"/>
      <c r="G10" s="110"/>
      <c r="H10" s="110"/>
      <c r="I10" s="110"/>
      <c r="J10" s="111"/>
      <c r="K10" s="112" t="s">
        <v>1788</v>
      </c>
      <c r="L10" s="113"/>
      <c r="M10" s="114"/>
      <c r="P10" s="53"/>
      <c r="Q10" s="53"/>
    </row>
    <row r="11" spans="2:17" ht="17.25" customHeight="1">
      <c r="B11" s="115" t="s">
        <v>1789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1790</v>
      </c>
      <c r="C13" s="60" t="s">
        <v>1791</v>
      </c>
      <c r="D13" s="61">
        <f>SUMIFS('0321 4度C'!$K:$K,'0321 4度C'!$A:$A,"新豐6線",'0321 4度C'!$B:$B,"平均")</f>
        <v>111.11111111111111</v>
      </c>
      <c r="E13" s="62">
        <f>SUMIFS('0321 4度C'!$K:$K,'0321 4度C'!$A:$A,"新豐2線",'0321 4度C'!$B:$B,"平均")</f>
        <v>83.333333333333329</v>
      </c>
      <c r="F13" s="63">
        <f>SUMIFS('0321 4度C'!$K:$K,'0321 4度C'!$A:$A,"新豐5線",'0321 4度C'!$B:$B,"平均")</f>
        <v>102.73972602739725</v>
      </c>
      <c r="G13" s="63">
        <f>SUMIFS('0321 4度C'!$K:$K,'0321 4度C'!$A:$A,"新豐7線",'0321 4度C'!$B:$B,"平均")</f>
        <v>128.37837837837839</v>
      </c>
      <c r="H13" s="63">
        <f>SUMIFS('0321 4度C'!$K:$K,'0321 4度C'!$A:$A,"新豐3線",'0321 4度C'!$B:$B,"平均")</f>
        <v>323.07692307692304</v>
      </c>
      <c r="I13" s="63">
        <f>SUMIFS('0321 4度C'!$K:$K,'0321 4度C'!$A:$A,"新豐1線",'0321 4度C'!$B:$B,"平均")</f>
        <v>102.27272727272728</v>
      </c>
      <c r="J13" s="64">
        <f>SUMIFS('0321 4度C'!$K:$K,'0321 4度C'!$A:$A,"新豐10線",'0321 4度C'!$B:$B,"平均")</f>
        <v>250</v>
      </c>
      <c r="K13" s="65">
        <f>SUMIFS('0321 4度C'!$K:$K,'0321 4度C'!$A:$A,"新豐8線",'0321 4度C'!$B:$B,"平均")</f>
        <v>130.43478260869566</v>
      </c>
      <c r="L13" s="66">
        <f>SUMIFS('0321 4度C'!$K:$K,'0321 4度C'!$A:$A,"新豐9線",'0321 4度C'!$B:$B,"平均")</f>
        <v>136.36363636363635</v>
      </c>
      <c r="M13" s="64">
        <f>SUMIFS('0321 4度C'!$K:$K,'0321 4度C'!$A:$A,"新豐4線",'0321 4度C'!$B:$B,"平均")</f>
        <v>155.84415584415584</v>
      </c>
    </row>
    <row r="14" spans="2:17" ht="39.6" customHeight="1">
      <c r="B14" s="120"/>
      <c r="C14" s="67" t="s">
        <v>1792</v>
      </c>
      <c r="D14" s="68">
        <f>SUMIFS('0321 4度C'!$N:$N,'0321 4度C'!$A:$A,"新豐6線",'0321 4度C'!$B:$B,"平均")</f>
        <v>106.01129244380684</v>
      </c>
      <c r="E14" s="69">
        <f>SUMIFS('0321 4度C'!$N:$N,'0321 4度C'!$A:$A,"新豐2線",'0321 4度C'!$B:$B,"平均")</f>
        <v>79.513529402782225</v>
      </c>
      <c r="F14" s="69">
        <f>SUMIFS('0321 4度C'!$N:$N,'0321 4度C'!$A:$A,"新豐5線",'0321 4度C'!$B:$B,"平均")</f>
        <v>99.53764829038407</v>
      </c>
      <c r="G14" s="69">
        <f>SUMIFS('0321 4度C'!$N:$N,'0321 4度C'!$A:$A,"新豐7線",'0321 4度C'!$B:$B,"平均")</f>
        <v>123.3019671454643</v>
      </c>
      <c r="H14" s="69">
        <f>SUMIFS('0321 4度C'!$N:$N,'0321 4度C'!$A:$A,"新豐3線",'0321 4度C'!$B:$B,"平均")</f>
        <v>309.05397754122163</v>
      </c>
      <c r="I14" s="69">
        <f>SUMIFS('0321 4度C'!$N:$N,'0321 4度C'!$A:$A,"新豐1線",'0321 4度C'!$B:$B,"平均")</f>
        <v>97.454491813781615</v>
      </c>
      <c r="J14" s="70">
        <f>SUMIFS('0321 4度C'!$N:$N,'0321 4度C'!$A:$A,"新豐10線",'0321 4度C'!$B:$B,"平均")</f>
        <v>239.34247906698562</v>
      </c>
      <c r="K14" s="71">
        <f>SUMIFS('0321 4度C'!$N:$N,'0321 4度C'!$A:$A,"新豐8線",'0321 4度C'!$B:$B,"平均")</f>
        <v>124.65980964526695</v>
      </c>
      <c r="L14" s="72">
        <f>SUMIFS('0321 4度C'!$N:$N,'0321 4度C'!$A:$A,"新豐9線",'0321 4度C'!$B:$B,"平均")</f>
        <v>130.37525828976572</v>
      </c>
      <c r="M14" s="70">
        <f>SUMIFS('0321 4度C'!$N:$N,'0321 4度C'!$A:$A,"新豐4線",'0321 4度C'!$B:$B,"平均")</f>
        <v>149.34576762714505</v>
      </c>
    </row>
    <row r="15" spans="2:17" ht="40.15" customHeight="1">
      <c r="B15" s="121"/>
      <c r="C15" s="73" t="s">
        <v>1793</v>
      </c>
      <c r="D15" s="74">
        <f t="shared" ref="D15:M15" si="0">D14/D13</f>
        <v>0.95410163199426146</v>
      </c>
      <c r="E15" s="75">
        <f t="shared" si="0"/>
        <v>0.9541623528333868</v>
      </c>
      <c r="F15" s="75">
        <f t="shared" si="0"/>
        <v>0.96883311002640504</v>
      </c>
      <c r="G15" s="75">
        <f t="shared" si="0"/>
        <v>0.96045742829098502</v>
      </c>
      <c r="H15" s="75">
        <f t="shared" si="0"/>
        <v>0.95659564477044801</v>
      </c>
      <c r="I15" s="75">
        <f t="shared" si="0"/>
        <v>0.95288836440142022</v>
      </c>
      <c r="J15" s="76">
        <f t="shared" si="0"/>
        <v>0.95736991626794243</v>
      </c>
      <c r="K15" s="74">
        <f t="shared" si="0"/>
        <v>0.95572520728037991</v>
      </c>
      <c r="L15" s="75">
        <f t="shared" si="0"/>
        <v>0.95608522745828206</v>
      </c>
      <c r="M15" s="76">
        <f t="shared" si="0"/>
        <v>0.95830200894084749</v>
      </c>
    </row>
    <row r="16" spans="2:17" ht="17.25" customHeight="1">
      <c r="B16" s="122" t="s">
        <v>1794</v>
      </c>
      <c r="C16" s="77" t="s">
        <v>1795</v>
      </c>
      <c r="D16" s="78">
        <f>VLOOKUP("新豐6線",'0321 4度C'!$A:$T,19,0)</f>
        <v>0.70833333333333337</v>
      </c>
      <c r="E16" s="79">
        <f>VLOOKUP("新豐2線",'0321 4度C'!$A:$T,19,0)</f>
        <v>0.20833333333333334</v>
      </c>
      <c r="F16" s="79">
        <f>VLOOKUP("新豐5線",'0321 4度C'!$A:$T,19,0)</f>
        <v>0.20833333333333334</v>
      </c>
      <c r="G16" s="79">
        <f>VLOOKUP("新豐7線",'0321 4度C'!$A:$T,19,0)</f>
        <v>0.20833333333333334</v>
      </c>
      <c r="H16" s="79">
        <f>VLOOKUP("新豐3線",'0321 4度C'!$A:$T,19,0)</f>
        <v>8.3333333333333329E-2</v>
      </c>
      <c r="I16" s="79">
        <f>VLOOKUP("新豐1線",'0321 4度C'!$A:$T,19,0)</f>
        <v>0.20833333333333334</v>
      </c>
      <c r="J16" s="80">
        <f>VLOOKUP("新豐10線",'0321 4度C'!$A:$T,19,0)</f>
        <v>0.20833333333333334</v>
      </c>
      <c r="K16" s="81">
        <f>VLOOKUP("新豐8線",'0321 4度C'!$A:$T,19,0)</f>
        <v>8.3333333333333329E-2</v>
      </c>
      <c r="L16" s="82">
        <f>VLOOKUP("新豐9線",'0321 4度C'!$A:$T,19,0)</f>
        <v>8.3333333333333329E-2</v>
      </c>
      <c r="M16" s="83">
        <f>VLOOKUP("新豐4線",'0321 4度C'!$A:$T,19,0)</f>
        <v>8.3333333333333329E-2</v>
      </c>
    </row>
    <row r="17" spans="2:13" ht="17.25" customHeight="1">
      <c r="B17" s="123"/>
      <c r="C17" s="77" t="s">
        <v>1796</v>
      </c>
      <c r="D17" s="81">
        <f>LOOKUP(2,1/(('0321 4度C'!$A:$A="新豐6線")*('0321 4度C'!$T:$T&lt;&gt;"")),'0321 4度C'!$T:$T)</f>
        <v>0.81041666666666667</v>
      </c>
      <c r="E17" s="79">
        <f>LOOKUP(2,1/(('0321 4度C'!$A:$A="新豐2線")*('0321 4度C'!$T:$T&lt;&gt;"")),'0321 4度C'!$T:$T)</f>
        <v>0.51041666666666674</v>
      </c>
      <c r="F17" s="79">
        <f>LOOKUP(2,1/(('0321 4度C'!$A:$A="新豐5線")*('0321 4度C'!$T:$T&lt;&gt;"")),'0321 4度C'!$T:$T)</f>
        <v>0.82361111111111107</v>
      </c>
      <c r="G17" s="79">
        <f>LOOKUP(2,1/(('0321 4度C'!$A:$A="新豐7線")*('0321 4度C'!$T:$T&lt;&gt;"")),'0321 4度C'!$T:$T)</f>
        <v>0.83819444444444435</v>
      </c>
      <c r="H17" s="79">
        <f>LOOKUP(2,1/(('0321 4度C'!$A:$A="新豐3線")*('0321 4度C'!$T:$T&lt;&gt;"")),'0321 4度C'!$T:$T)</f>
        <v>0.49722222222222218</v>
      </c>
      <c r="I17" s="79">
        <f>LOOKUP(2,1/(('0321 4度C'!$A:$A="新豐1線")*('0321 4度C'!$T:$T&lt;&gt;"")),'0321 4度C'!$T:$T)</f>
        <v>0.84236111111111112</v>
      </c>
      <c r="J17" s="80">
        <f>LOOKUP(2,1/(('0321 4度C'!$A:$A="新豐10線")*('0321 4度C'!$T:$T&lt;&gt;"")),'0321 4度C'!$T:$T)</f>
        <v>0.34513888888888888</v>
      </c>
      <c r="K17" s="78">
        <f>LOOKUP(2,1/(('0321 4度C'!$A:$A="新豐8線")*('0321 4度C'!$T:$T&lt;&gt;"")),'0321 4度C'!$T:$T)</f>
        <v>0.4680555555555555</v>
      </c>
      <c r="L17" s="79">
        <f>LOOKUP(2,1/(('0321 4度C'!$A:$A="新豐9線")*('0321 4度C'!$T:$T&lt;&gt;"")),'0321 4度C'!$T:$T)</f>
        <v>0.48888888888888882</v>
      </c>
      <c r="M17" s="80">
        <f>LOOKUP(2,1/(('0321 4度C'!$A:$A="新豐4線")*('0321 4度C'!$T:$T&lt;&gt;"")),'0321 4度C'!$T:$T)</f>
        <v>0.47638888888888886</v>
      </c>
    </row>
    <row r="18" spans="2:13" ht="17.25" customHeight="1">
      <c r="B18" s="101" t="s">
        <v>1797</v>
      </c>
      <c r="C18" s="84" t="s">
        <v>1798</v>
      </c>
      <c r="D18" s="85">
        <f>SUMIFS('0321 4度C'!$Y:$Y,'0321 4度C'!$A:$A,"新豐6線",'0321 4度C'!$B:$B,"平均")</f>
        <v>0</v>
      </c>
      <c r="E18" s="86">
        <f>SUMIFS('0321 4度C'!$Y:$Y,'0321 4度C'!$A:$A,"新豐2線",'0321 4度C'!$B:$B,"平均")</f>
        <v>0</v>
      </c>
      <c r="F18" s="86">
        <f>SUMIFS('0321 4度C'!$Y:$Y,'0321 4度C'!$A:$A,"新豐5線",'0321 4度C'!$B:$B,"平均")</f>
        <v>0</v>
      </c>
      <c r="G18" s="86">
        <f>SUMIFS('0321 4度C'!$Y:$Y,'0321 4度C'!$A:$A,"新豐7線",'0321 4度C'!$B:$B,"平均")</f>
        <v>0</v>
      </c>
      <c r="H18" s="86">
        <f>SUMIFS('0321 4度C'!$Y:$Y,'0321 4度C'!$A:$A,"新豐3線",'0321 4度C'!$B:$B,"平均")</f>
        <v>0</v>
      </c>
      <c r="I18" s="86">
        <f>SUMIFS('0321 4度C'!$Y:$Y,'0321 4度C'!$A:$A,"新豐1線",'0321 4度C'!$B:$B,"平均")</f>
        <v>0</v>
      </c>
      <c r="J18" s="87">
        <f>SUMIFS('0321 4度C'!$Y:$Y,'0321 4度C'!$A:$A,"新豐10線",'0321 4度C'!$B:$B,"平均")</f>
        <v>0</v>
      </c>
      <c r="K18" s="88">
        <f>SUMIFS('0321 4度C'!$Y:$Y,'0321 4度C'!$A:$A,"新豐8線",'0321 4度C'!$B:$B,"平均")</f>
        <v>0</v>
      </c>
      <c r="L18" s="86">
        <f>SUMIFS('0321 4度C'!$Y:$Y,'0321 4度C'!$A:$A,"新豐9線",'0321 4度C'!$B:$B,"平均")</f>
        <v>0</v>
      </c>
      <c r="M18" s="87">
        <f>SUMIFS('0321 4度C'!$Y:$Y,'0321 4度C'!$A:$A,"新豐4線",'0321 4度C'!$B:$B,"平均")</f>
        <v>0</v>
      </c>
    </row>
    <row r="19" spans="2:13" ht="17.25" customHeight="1">
      <c r="B19" s="102"/>
      <c r="C19" s="84" t="s">
        <v>1799</v>
      </c>
      <c r="D19" s="85">
        <f>SUMIFS('0321 4度C'!$Z:$Z,'0321 4度C'!$A:$A,"新豐6線",'0321 4度C'!$B:$B,"平均")</f>
        <v>0</v>
      </c>
      <c r="E19" s="86">
        <f>SUMIFS('0321 4度C'!$Z:$Z,'0321 4度C'!$A:$A,"新豐2線",'0321 4度C'!$B:$B,"平均")</f>
        <v>0</v>
      </c>
      <c r="F19" s="86">
        <f>SUMIFS('0321 4度C'!$Z:$Z,'0321 4度C'!$A:$A,"新豐5線",'0321 4度C'!$B:$B,"平均")</f>
        <v>0</v>
      </c>
      <c r="G19" s="86">
        <f>SUMIFS('0321 4度C'!$Z:$Z,'0321 4度C'!$A:$A,"新豐7線",'0321 4度C'!$B:$B,"平均")</f>
        <v>0</v>
      </c>
      <c r="H19" s="86">
        <f>SUMIFS('0321 4度C'!$Z:$Z,'0321 4度C'!$A:$A,"新豐3線",'0321 4度C'!$B:$B,"平均")</f>
        <v>0</v>
      </c>
      <c r="I19" s="86">
        <f>SUMIFS('0321 4度C'!$Z:$Z,'0321 4度C'!$A:$A,"新豐1線",'0321 4度C'!$B:$B,"平均")</f>
        <v>0</v>
      </c>
      <c r="J19" s="87">
        <f>SUMIFS('0321 4度C'!$Z:$Z,'0321 4度C'!$A:$A,"新豐10線",'0321 4度C'!$B:$B,"平均")</f>
        <v>0</v>
      </c>
      <c r="K19" s="88">
        <f>SUMIFS('0321 4度C'!$Z:$Z,'0321 4度C'!$A:$A,"新豐8線",'0321 4度C'!$B:$B,"平均")</f>
        <v>0</v>
      </c>
      <c r="L19" s="86">
        <f>SUMIFS('0321 4度C'!$Z:$Z,'0321 4度C'!$A:$A,"新豐9線",'0321 4度C'!$B:$B,"平均")</f>
        <v>0</v>
      </c>
      <c r="M19" s="87">
        <f>SUMIFS('0321 4度C'!$Z:$Z,'0321 4度C'!$A:$A,"新豐4線",'0321 4度C'!$B:$B,"平均")</f>
        <v>0</v>
      </c>
    </row>
    <row r="20" spans="2:13" ht="17.25" customHeight="1">
      <c r="B20" s="101" t="s">
        <v>1800</v>
      </c>
      <c r="C20" s="84" t="s">
        <v>1798</v>
      </c>
      <c r="D20" s="85">
        <f>SUMIFS('0321 4度C'!$AC:$AC,'0321 4度C'!$A:$A,"新豐6線",'0321 4度C'!$B:$B,"平均")</f>
        <v>4</v>
      </c>
      <c r="E20" s="86">
        <f>SUMIFS('0321 4度C'!$AC:$AC,'0321 4度C'!$A:$A,"新豐2線",'0321 4度C'!$B:$B,"平均")</f>
        <v>2</v>
      </c>
      <c r="F20" s="86">
        <f>SUMIFS('0321 4度C'!$AC:$AC,'0321 4度C'!$A:$A,"新豐5線",'0321 4度C'!$B:$B,"平均")</f>
        <v>4</v>
      </c>
      <c r="G20" s="86">
        <f>SUMIFS('0321 4度C'!$AC:$AC,'0321 4度C'!$A:$A,"新豐7線",'0321 4度C'!$B:$B,"平均")</f>
        <v>5</v>
      </c>
      <c r="H20" s="86">
        <f>SUMIFS('0321 4度C'!$AC:$AC,'0321 4度C'!$A:$A,"新豐3線",'0321 4度C'!$B:$B,"平均")</f>
        <v>7</v>
      </c>
      <c r="I20" s="86">
        <f>SUMIFS('0321 4度C'!$AC:$AC,'0321 4度C'!$A:$A,"新豐1線",'0321 4度C'!$B:$B,"平均")</f>
        <v>7</v>
      </c>
      <c r="J20" s="87">
        <f>SUMIFS('0321 4度C'!$AC:$AC,'0321 4度C'!$A:$A,"新豐10線",'0321 4度C'!$B:$B,"平均")</f>
        <v>3</v>
      </c>
      <c r="K20" s="88">
        <f>SUMIFS('0321 4度C'!$AC:$AC,'0321 4度C'!$A:$A,"新豐8線",'0321 4度C'!$B:$B,"平均")</f>
        <v>5</v>
      </c>
      <c r="L20" s="86">
        <f>SUMIFS('0321 4度C'!$AC:$AC,'0321 4度C'!$A:$A,"新豐9線",'0321 4度C'!$B:$B,"平均")</f>
        <v>5</v>
      </c>
      <c r="M20" s="87">
        <f>SUMIFS('0321 4度C'!$AC:$AC,'0321 4度C'!$A:$A,"新豐4線",'0321 4度C'!$B:$B,"平均")</f>
        <v>5</v>
      </c>
    </row>
    <row r="21" spans="2:13" ht="17.25" customHeight="1">
      <c r="B21" s="102"/>
      <c r="C21" s="84" t="s">
        <v>1801</v>
      </c>
      <c r="D21" s="85">
        <f>SUMIFS('0321 4度C'!$AD:$AD,'0321 4度C'!$A:$A,"新豐6線",'0321 4度C'!$B:$B,"平均")</f>
        <v>0</v>
      </c>
      <c r="E21" s="86">
        <f>SUMIFS('0321 4度C'!$AD:$AD,'0321 4度C'!$A:$A,"新豐2線",'0321 4度C'!$B:$B,"平均")</f>
        <v>0</v>
      </c>
      <c r="F21" s="86">
        <f>SUMIFS('0321 4度C'!$AD:$AD,'0321 4度C'!$A:$A,"新豐5線",'0321 4度C'!$B:$B,"平均")</f>
        <v>0</v>
      </c>
      <c r="G21" s="86">
        <f>SUMIFS('0321 4度C'!$AD:$AD,'0321 4度C'!$A:$A,"新豐7線",'0321 4度C'!$B:$B,"平均")</f>
        <v>0</v>
      </c>
      <c r="H21" s="86">
        <f>SUMIFS('0321 4度C'!$AD:$AD,'0321 4度C'!$A:$A,"新豐3線",'0321 4度C'!$B:$B,"平均")</f>
        <v>0</v>
      </c>
      <c r="I21" s="86">
        <f>SUMIFS('0321 4度C'!$AD:$AD,'0321 4度C'!$A:$A,"新豐1線",'0321 4度C'!$B:$B,"平均")</f>
        <v>0</v>
      </c>
      <c r="J21" s="87">
        <f>SUMIFS('0321 4度C'!$AD:$AD,'0321 4度C'!$A:$A,"新豐10線",'0321 4度C'!$B:$B,"平均")</f>
        <v>0</v>
      </c>
      <c r="K21" s="88">
        <f>SUMIFS('0321 4度C'!$AD:$AD,'0321 4度C'!$A:$A,"新豐8線",'0321 4度C'!$B:$B,"平均")</f>
        <v>0</v>
      </c>
      <c r="L21" s="86">
        <f>SUMIFS('0321 4度C'!$AD:$AD,'0321 4度C'!$A:$A,"新豐9線",'0321 4度C'!$B:$B,"平均")</f>
        <v>0</v>
      </c>
      <c r="M21" s="87">
        <f>SUMIFS('0321 4度C'!$AD:$AD,'0321 4度C'!$A:$A,"新豐4線",'0321 4度C'!$B:$B,"平均")</f>
        <v>0</v>
      </c>
    </row>
    <row r="22" spans="2:13" ht="17.25" customHeight="1">
      <c r="B22" s="103" t="s">
        <v>1802</v>
      </c>
      <c r="C22" s="104"/>
      <c r="D22" s="89">
        <f>SUMIFS('0321 4度C'!$I:$I,'0321 4度C'!$A:$A,"新豐6線",'0321 4度C'!$B:$B,"平均")</f>
        <v>18</v>
      </c>
      <c r="E22" s="90">
        <f>SUMIFS('0321 4度C'!$I:$I,'0321 4度C'!$A:$A,"新豐2線",'0321 4度C'!$B:$B,"平均")</f>
        <v>18</v>
      </c>
      <c r="F22" s="90">
        <f>SUMIFS('0321 4度C'!$I:$I,'0321 4度C'!$A:$A,"新豐5線",'0321 4度C'!$B:$B,"平均")</f>
        <v>18.25</v>
      </c>
      <c r="G22" s="90">
        <f>SUMIFS('0321 4度C'!$I:$I,'0321 4度C'!$A:$A,"新豐7線",'0321 4度C'!$B:$B,"平均")</f>
        <v>14.8</v>
      </c>
      <c r="H22" s="90">
        <f>SUMIFS('0321 4度C'!$I:$I,'0321 4度C'!$A:$A,"新豐3線",'0321 4度C'!$B:$B,"平均")</f>
        <v>9.2857142857142865</v>
      </c>
      <c r="I22" s="90">
        <f>SUMIFS('0321 4度C'!$I:$I,'0321 4度C'!$A:$A,"新豐1線",'0321 4度C'!$B:$B,"平均")</f>
        <v>18.857142857142858</v>
      </c>
      <c r="J22" s="91">
        <f>SUMIFS('0321 4度C'!$I:$I,'0321 4度C'!$A:$A,"新豐10線",'0321 4度C'!$B:$B,"平均")</f>
        <v>10.666666666666666</v>
      </c>
      <c r="K22" s="89">
        <f>SUMIFS('0321 4度C'!$I:$I,'0321 4度C'!$A:$A,"新豐8線",'0321 4度C'!$B:$B,"平均")</f>
        <v>18.399999999999999</v>
      </c>
      <c r="L22" s="90">
        <f>SUMIFS('0321 4度C'!$I:$I,'0321 4度C'!$A:$A,"新豐9線",'0321 4度C'!$B:$B,"平均")</f>
        <v>17.600000000000001</v>
      </c>
      <c r="M22" s="91">
        <f>SUMIFS('0321 4度C'!$I:$I,'0321 4度C'!$A:$A,"新豐4線",'0321 4度C'!$B:$B,"平均")</f>
        <v>15.4</v>
      </c>
    </row>
    <row r="23" spans="2:13" ht="17.25" customHeight="1">
      <c r="B23" s="103" t="s">
        <v>1803</v>
      </c>
      <c r="C23" s="104"/>
      <c r="D23" s="92" t="s">
        <v>185</v>
      </c>
      <c r="E23" s="93" t="s">
        <v>186</v>
      </c>
      <c r="F23" s="93" t="s">
        <v>1804</v>
      </c>
      <c r="G23" s="93" t="s">
        <v>1804</v>
      </c>
      <c r="H23" s="93" t="s">
        <v>188</v>
      </c>
      <c r="I23" s="93" t="s">
        <v>185</v>
      </c>
      <c r="J23" s="94" t="s">
        <v>188</v>
      </c>
      <c r="K23" s="92" t="s">
        <v>1805</v>
      </c>
      <c r="L23" s="93" t="s">
        <v>1805</v>
      </c>
      <c r="M23" s="94" t="s">
        <v>1805</v>
      </c>
    </row>
    <row r="24" spans="2:13" ht="17.25" customHeight="1">
      <c r="B24" s="103" t="s">
        <v>1806</v>
      </c>
      <c r="C24" s="104"/>
      <c r="D24" s="92"/>
      <c r="E24" s="93"/>
      <c r="F24" s="93" t="s">
        <v>1807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1808</v>
      </c>
      <c r="C25" s="106"/>
      <c r="D25" s="95"/>
      <c r="E25" s="96" t="s">
        <v>1809</v>
      </c>
      <c r="F25" s="99" t="s">
        <v>1810</v>
      </c>
      <c r="G25" s="100"/>
      <c r="H25" s="96" t="s">
        <v>1811</v>
      </c>
      <c r="I25" s="96" t="s">
        <v>1812</v>
      </c>
      <c r="J25" s="97" t="s">
        <v>1811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G62"/>
  <sheetViews>
    <sheetView zoomScale="80" zoomScaleNormal="80" workbookViewId="0">
      <pane ySplit="4" topLeftCell="A5" activePane="bottomLeft" state="frozen"/>
      <selection activeCell="K6" sqref="K6:K8"/>
      <selection pane="bottomLeft" activeCell="K6" sqref="K6:K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1813</v>
      </c>
      <c r="B1" s="1"/>
      <c r="C1" s="2" t="s">
        <v>1814</v>
      </c>
      <c r="D1" s="3">
        <f>SUM(F5:F61)</f>
        <v>133569</v>
      </c>
      <c r="E1" s="4" t="s">
        <v>1815</v>
      </c>
      <c r="F1" s="1">
        <f>SUM(G5:G61)</f>
        <v>4464240.4999999991</v>
      </c>
      <c r="G1" s="1" t="s">
        <v>1816</v>
      </c>
      <c r="H1" s="5">
        <f>L9+L12+L43+L51+L17+L55+L29+L35+L23+L61</f>
        <v>159.25952380952381</v>
      </c>
      <c r="I1" s="212" t="s">
        <v>1817</v>
      </c>
      <c r="J1" s="212"/>
      <c r="K1" s="212"/>
      <c r="L1" s="212" t="s">
        <v>1818</v>
      </c>
      <c r="M1" s="212"/>
      <c r="N1" s="212"/>
      <c r="O1" s="212" t="s">
        <v>1819</v>
      </c>
      <c r="P1" s="212"/>
      <c r="Q1" s="212"/>
      <c r="R1" s="212"/>
      <c r="S1" s="212" t="s">
        <v>1820</v>
      </c>
      <c r="T1" s="212"/>
      <c r="U1" s="212"/>
      <c r="V1" s="212"/>
      <c r="W1" s="212"/>
      <c r="X1" s="212"/>
      <c r="Y1" s="6" t="s">
        <v>1821</v>
      </c>
      <c r="Z1" s="7" t="s">
        <v>1822</v>
      </c>
      <c r="AA1" s="213" t="s">
        <v>1823</v>
      </c>
      <c r="AB1" s="213"/>
      <c r="AC1" s="42" t="s">
        <v>1821</v>
      </c>
      <c r="AD1" s="7" t="s">
        <v>1824</v>
      </c>
      <c r="AE1" s="212" t="s">
        <v>1825</v>
      </c>
      <c r="AF1" s="214"/>
      <c r="AG1" s="214"/>
    </row>
    <row r="2" spans="1:33" ht="26.25" customHeight="1">
      <c r="A2" s="33">
        <v>46102</v>
      </c>
      <c r="B2" s="34" t="s">
        <v>756</v>
      </c>
      <c r="C2" s="2" t="s">
        <v>1826</v>
      </c>
      <c r="D2" s="9">
        <f>AVERAGE(N9,N12,N43,N51,N17,N55,N23,N29,N35,N61)</f>
        <v>145.85962212666038</v>
      </c>
      <c r="E2" s="10" t="s">
        <v>14</v>
      </c>
      <c r="F2" s="11">
        <f>F1/D1</f>
        <v>33.422729076357534</v>
      </c>
      <c r="G2" s="1" t="s">
        <v>1827</v>
      </c>
      <c r="H2" s="12">
        <f>COUNT(H5:H61)</f>
        <v>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SUM(Y9+Y12+Y17+Y23+Y29+Y35+Y43+Y51+Y55+Y61)</f>
        <v>0</v>
      </c>
      <c r="Z2" s="13">
        <f>SUM(Z9+Z12+Z17+Z23+Z29+Z35+Z43+Z51+Z55+Z61)</f>
        <v>0</v>
      </c>
      <c r="AA2" s="213"/>
      <c r="AB2" s="213"/>
      <c r="AC2" s="13">
        <v>47</v>
      </c>
      <c r="AD2" s="13">
        <f>SUM(AD9+AD12+AD17+AD23+AD29+AD35+AD43+AD51+AD55+AD61)</f>
        <v>0</v>
      </c>
      <c r="AE2" s="214"/>
      <c r="AF2" s="214"/>
      <c r="AG2" s="214"/>
    </row>
    <row r="3" spans="1:33" ht="40.5" customHeight="1">
      <c r="A3" s="162" t="s">
        <v>1828</v>
      </c>
      <c r="B3" s="162" t="s">
        <v>1829</v>
      </c>
      <c r="C3" s="162" t="s">
        <v>1830</v>
      </c>
      <c r="D3" s="162"/>
      <c r="E3" s="210" t="s">
        <v>1831</v>
      </c>
      <c r="F3" s="162" t="s">
        <v>1832</v>
      </c>
      <c r="G3" s="210" t="s">
        <v>1833</v>
      </c>
      <c r="H3" s="204" t="s">
        <v>1834</v>
      </c>
      <c r="I3" s="202" t="s">
        <v>1835</v>
      </c>
      <c r="J3" s="199" t="s">
        <v>1836</v>
      </c>
      <c r="K3" s="209" t="s">
        <v>1837</v>
      </c>
      <c r="L3" s="202" t="s">
        <v>1838</v>
      </c>
      <c r="M3" s="199" t="s">
        <v>1836</v>
      </c>
      <c r="N3" s="209" t="s">
        <v>1837</v>
      </c>
      <c r="O3" s="202" t="s">
        <v>1835</v>
      </c>
      <c r="P3" s="209" t="s">
        <v>1837</v>
      </c>
      <c r="Q3" s="200" t="s">
        <v>1839</v>
      </c>
      <c r="R3" s="178" t="s">
        <v>1840</v>
      </c>
      <c r="S3" s="162" t="s">
        <v>27</v>
      </c>
      <c r="T3" s="162"/>
      <c r="U3" s="204" t="s">
        <v>28</v>
      </c>
      <c r="V3" s="204" t="s">
        <v>1841</v>
      </c>
      <c r="W3" s="162" t="s">
        <v>1842</v>
      </c>
      <c r="X3" s="162"/>
      <c r="Y3" s="205" t="s">
        <v>1843</v>
      </c>
      <c r="Z3" s="166"/>
      <c r="AA3" s="206" t="s">
        <v>1844</v>
      </c>
      <c r="AB3" s="207"/>
      <c r="AC3" s="205" t="s">
        <v>1845</v>
      </c>
      <c r="AD3" s="166"/>
      <c r="AE3" s="199" t="s">
        <v>1836</v>
      </c>
      <c r="AF3" s="200" t="s">
        <v>1846</v>
      </c>
      <c r="AG3" s="178" t="s">
        <v>1847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1848</v>
      </c>
      <c r="X4" s="4" t="s">
        <v>1849</v>
      </c>
      <c r="Y4" s="14" t="s">
        <v>1850</v>
      </c>
      <c r="Z4" s="14" t="s">
        <v>1851</v>
      </c>
      <c r="AA4" s="208"/>
      <c r="AB4" s="207"/>
      <c r="AC4" s="14" t="s">
        <v>1852</v>
      </c>
      <c r="AD4" s="14" t="s">
        <v>1853</v>
      </c>
      <c r="AE4" s="199"/>
      <c r="AF4" s="200"/>
      <c r="AG4" s="178"/>
    </row>
    <row r="5" spans="1:33">
      <c r="A5" s="201" t="s">
        <v>1854</v>
      </c>
      <c r="B5" s="35" t="s">
        <v>78</v>
      </c>
      <c r="C5" s="203" t="s">
        <v>79</v>
      </c>
      <c r="D5" s="203"/>
      <c r="E5" s="35">
        <v>50.67</v>
      </c>
      <c r="F5" s="4">
        <v>1311</v>
      </c>
      <c r="G5" s="4">
        <f t="shared" ref="G5:G8" si="0">E5*F5</f>
        <v>66428.37</v>
      </c>
      <c r="H5" s="21" t="s">
        <v>133</v>
      </c>
      <c r="I5" s="15">
        <v>17</v>
      </c>
      <c r="J5" s="17">
        <v>2000</v>
      </c>
      <c r="K5" s="16">
        <f t="shared" ref="K5:K61" si="1">J5/I5</f>
        <v>117.64705882352941</v>
      </c>
      <c r="L5" s="15">
        <v>17</v>
      </c>
      <c r="M5" s="17">
        <f t="shared" ref="M5:M8" si="2">F5/V5*60</f>
        <v>1918.5365853658532</v>
      </c>
      <c r="N5" s="16">
        <f t="shared" ref="N5:N61" si="3">M5/L5</f>
        <v>112.8550932568149</v>
      </c>
      <c r="O5" s="18">
        <f t="shared" ref="O5:O61" si="4">L5-I5</f>
        <v>0</v>
      </c>
      <c r="P5" s="19">
        <f t="shared" ref="P5:P61" si="5">N5-K5</f>
        <v>-4.7919655667145094</v>
      </c>
      <c r="Q5" s="20">
        <f t="shared" ref="Q5:Q61" si="6">N5/K5</f>
        <v>0.95926829268292668</v>
      </c>
      <c r="R5" s="170">
        <f>Q9</f>
        <v>0.95410163199426146</v>
      </c>
      <c r="S5" s="27">
        <v>0.70833333333333337</v>
      </c>
      <c r="T5" s="27">
        <v>0.7368055555555556</v>
      </c>
      <c r="U5" s="4"/>
      <c r="V5" s="21">
        <f t="shared" ref="V5:V8" si="7">(T5-S5)*24*60</f>
        <v>41.000000000000014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0" si="8">M5-J5</f>
        <v>-81.463414634146829</v>
      </c>
      <c r="AF5" s="20">
        <f t="shared" ref="AF5:AF61" si="9">M5/J5</f>
        <v>0.95926829268292657</v>
      </c>
      <c r="AG5" s="170">
        <f>AF9</f>
        <v>0.95410163199426157</v>
      </c>
    </row>
    <row r="6" spans="1:33">
      <c r="A6" s="202" t="s">
        <v>1855</v>
      </c>
      <c r="B6" s="35" t="s">
        <v>78</v>
      </c>
      <c r="C6" s="203" t="s">
        <v>80</v>
      </c>
      <c r="D6" s="203"/>
      <c r="E6" s="35">
        <v>54.09</v>
      </c>
      <c r="F6" s="4">
        <v>1100</v>
      </c>
      <c r="G6" s="4">
        <f t="shared" si="0"/>
        <v>59499.000000000007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1941.1764705882326</v>
      </c>
      <c r="N6" s="16">
        <f t="shared" si="3"/>
        <v>102.16718266253856</v>
      </c>
      <c r="O6" s="18">
        <f t="shared" si="4"/>
        <v>0</v>
      </c>
      <c r="P6" s="19">
        <f t="shared" si="5"/>
        <v>-3.0959752321982705</v>
      </c>
      <c r="Q6" s="20">
        <f t="shared" si="6"/>
        <v>0.97058823529411642</v>
      </c>
      <c r="R6" s="170"/>
      <c r="S6" s="27">
        <v>0.74027777777777781</v>
      </c>
      <c r="T6" s="27">
        <v>0.76388888888888895</v>
      </c>
      <c r="U6" s="4">
        <f t="shared" ref="U6:U8" si="10">IF(S6=TIME(17,0,0),"",(S6-T5)*24*60)</f>
        <v>4.9999999999999822</v>
      </c>
      <c r="V6" s="21">
        <f t="shared" si="7"/>
        <v>34.000000000000043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-58.823529411767367</v>
      </c>
      <c r="AF6" s="20">
        <f t="shared" si="9"/>
        <v>0.97058823529411631</v>
      </c>
      <c r="AG6" s="170"/>
    </row>
    <row r="7" spans="1:33">
      <c r="A7" s="202" t="s">
        <v>1855</v>
      </c>
      <c r="B7" s="35" t="s">
        <v>78</v>
      </c>
      <c r="C7" s="197" t="s">
        <v>82</v>
      </c>
      <c r="D7" s="198"/>
      <c r="E7" s="35">
        <v>50.67</v>
      </c>
      <c r="F7" s="4">
        <v>249</v>
      </c>
      <c r="G7" s="4">
        <f t="shared" si="0"/>
        <v>12616.83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1867.5000000000066</v>
      </c>
      <c r="N7" s="16">
        <f t="shared" si="3"/>
        <v>88.928571428571743</v>
      </c>
      <c r="O7" s="18">
        <f t="shared" si="4"/>
        <v>0</v>
      </c>
      <c r="P7" s="19">
        <f t="shared" si="5"/>
        <v>-6.3095238095234976</v>
      </c>
      <c r="Q7" s="20">
        <f t="shared" si="6"/>
        <v>0.9337500000000033</v>
      </c>
      <c r="R7" s="170"/>
      <c r="S7" s="27">
        <v>0.76736111111111116</v>
      </c>
      <c r="T7" s="27">
        <v>0.7729166666666667</v>
      </c>
      <c r="U7" s="4">
        <f t="shared" si="10"/>
        <v>4.9999999999999822</v>
      </c>
      <c r="V7" s="21">
        <f t="shared" si="7"/>
        <v>7.9999999999999716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-132.49999999999341</v>
      </c>
      <c r="AF7" s="20">
        <f t="shared" si="9"/>
        <v>0.9337500000000033</v>
      </c>
      <c r="AG7" s="170"/>
    </row>
    <row r="8" spans="1:33">
      <c r="A8" s="202" t="s">
        <v>1855</v>
      </c>
      <c r="B8" s="35" t="s">
        <v>78</v>
      </c>
      <c r="C8" s="197" t="s">
        <v>91</v>
      </c>
      <c r="D8" s="198"/>
      <c r="E8" s="35">
        <v>50.67</v>
      </c>
      <c r="F8" s="4">
        <v>1588</v>
      </c>
      <c r="G8" s="4">
        <f t="shared" si="0"/>
        <v>80463.960000000006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1905.6000000000006</v>
      </c>
      <c r="N8" s="16">
        <f t="shared" si="3"/>
        <v>127.04000000000003</v>
      </c>
      <c r="O8" s="18">
        <f t="shared" si="4"/>
        <v>0</v>
      </c>
      <c r="P8" s="19">
        <f t="shared" si="5"/>
        <v>-6.2933333333333081</v>
      </c>
      <c r="Q8" s="20">
        <f t="shared" si="6"/>
        <v>0.9528000000000002</v>
      </c>
      <c r="R8" s="170"/>
      <c r="S8" s="27">
        <v>0.77569444444444446</v>
      </c>
      <c r="T8" s="27">
        <v>0.81041666666666667</v>
      </c>
      <c r="U8" s="4">
        <f t="shared" si="10"/>
        <v>3.9999999999999858</v>
      </c>
      <c r="V8" s="21">
        <f t="shared" si="7"/>
        <v>49.999999999999986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-94.399999999999409</v>
      </c>
      <c r="AF8" s="20">
        <f t="shared" si="9"/>
        <v>0.95280000000000031</v>
      </c>
      <c r="AG8" s="170"/>
    </row>
    <row r="9" spans="1:33">
      <c r="A9" s="202" t="s">
        <v>1855</v>
      </c>
      <c r="B9" s="35" t="s">
        <v>1856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1908.2032639885231</v>
      </c>
      <c r="N9" s="16">
        <f t="shared" si="3"/>
        <v>106.01129244380684</v>
      </c>
      <c r="O9" s="18">
        <f t="shared" si="4"/>
        <v>0</v>
      </c>
      <c r="P9" s="19">
        <f t="shared" si="5"/>
        <v>-5.0998186673042767</v>
      </c>
      <c r="Q9" s="20">
        <f t="shared" si="6"/>
        <v>0.95410163199426146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-91.796736011476924</v>
      </c>
      <c r="AF9" s="20">
        <f t="shared" si="9"/>
        <v>0.95410163199426157</v>
      </c>
      <c r="AG9" s="170"/>
    </row>
    <row r="10" spans="1:33" ht="15.75" customHeight="1">
      <c r="A10" s="196" t="s">
        <v>1857</v>
      </c>
      <c r="B10" s="35" t="s">
        <v>84</v>
      </c>
      <c r="C10" s="197" t="s">
        <v>85</v>
      </c>
      <c r="D10" s="198"/>
      <c r="E10" s="35">
        <v>39.619999999999997</v>
      </c>
      <c r="F10" s="4">
        <v>3969</v>
      </c>
      <c r="G10" s="4">
        <f t="shared" ref="G10:G11" si="11">E10*F10</f>
        <v>157251.78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1" si="12">F10/V10*60</f>
        <v>1434.5783132530121</v>
      </c>
      <c r="N10" s="16">
        <f t="shared" si="3"/>
        <v>75.504121750158532</v>
      </c>
      <c r="O10" s="18">
        <f t="shared" si="4"/>
        <v>0</v>
      </c>
      <c r="P10" s="19">
        <f t="shared" si="5"/>
        <v>-3.4432466708940979</v>
      </c>
      <c r="Q10" s="20">
        <f t="shared" si="6"/>
        <v>0.95638554216867477</v>
      </c>
      <c r="R10" s="170">
        <f>Q12</f>
        <v>0.9541623528333868</v>
      </c>
      <c r="S10" s="27">
        <v>0.20833333333333334</v>
      </c>
      <c r="T10" s="27">
        <v>0.32361111111111113</v>
      </c>
      <c r="U10" s="4"/>
      <c r="V10" s="21">
        <f t="shared" ref="V10:V11" si="13">(T10-S10)*24*60</f>
        <v>166</v>
      </c>
      <c r="W10" s="22"/>
      <c r="X10" s="22"/>
      <c r="Y10" s="22"/>
      <c r="Z10" s="22"/>
      <c r="AA10" s="162"/>
      <c r="AB10" s="162"/>
      <c r="AC10" s="24">
        <v>2</v>
      </c>
      <c r="AD10" s="24"/>
      <c r="AE10" s="18">
        <f t="shared" si="8"/>
        <v>-65.421686746987916</v>
      </c>
      <c r="AF10" s="20">
        <f t="shared" si="9"/>
        <v>0.95638554216867477</v>
      </c>
      <c r="AG10" s="170">
        <f>AF12</f>
        <v>0.95416235283338668</v>
      </c>
    </row>
    <row r="11" spans="1:33" ht="15.75" customHeight="1">
      <c r="A11" s="196" t="s">
        <v>1858</v>
      </c>
      <c r="B11" s="35" t="s">
        <v>84</v>
      </c>
      <c r="C11" s="197" t="s">
        <v>86</v>
      </c>
      <c r="D11" s="198"/>
      <c r="E11" s="35">
        <v>39.799999999999997</v>
      </c>
      <c r="F11" s="4">
        <v>6259</v>
      </c>
      <c r="G11" s="4">
        <f t="shared" si="11"/>
        <v>249108.19999999998</v>
      </c>
      <c r="H11" s="21" t="s">
        <v>133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1427.9087452471481</v>
      </c>
      <c r="N11" s="16">
        <f t="shared" si="3"/>
        <v>83.994632073361657</v>
      </c>
      <c r="O11" s="18">
        <f t="shared" si="4"/>
        <v>0</v>
      </c>
      <c r="P11" s="19">
        <f t="shared" si="5"/>
        <v>-4.2406620442854006</v>
      </c>
      <c r="Q11" s="20">
        <f t="shared" si="6"/>
        <v>0.95193916349809882</v>
      </c>
      <c r="R11" s="170"/>
      <c r="S11" s="27">
        <v>0.32777777777777778</v>
      </c>
      <c r="T11" s="27">
        <v>0.51041666666666674</v>
      </c>
      <c r="U11" s="4">
        <f t="shared" ref="U11" si="14">IF(S11=TIME(17,0,0),"",(S11-T10)*24*60)</f>
        <v>5.9999999999999787</v>
      </c>
      <c r="V11" s="21">
        <f t="shared" si="13"/>
        <v>263.00000000000006</v>
      </c>
      <c r="W11" s="22"/>
      <c r="X11" s="22"/>
      <c r="Y11" s="22"/>
      <c r="Z11" s="22"/>
      <c r="AA11" s="162"/>
      <c r="AB11" s="162"/>
      <c r="AC11" s="24"/>
      <c r="AD11" s="24"/>
      <c r="AE11" s="18">
        <f t="shared" si="8"/>
        <v>-72.09125475285191</v>
      </c>
      <c r="AF11" s="20">
        <f t="shared" si="9"/>
        <v>0.95193916349809871</v>
      </c>
      <c r="AG11" s="170"/>
    </row>
    <row r="12" spans="1:33" ht="16.5" customHeight="1">
      <c r="A12" s="196" t="s">
        <v>1859</v>
      </c>
      <c r="B12" s="35" t="s">
        <v>1860</v>
      </c>
      <c r="C12" s="171"/>
      <c r="D12" s="171"/>
      <c r="E12" s="36"/>
      <c r="F12" s="17"/>
      <c r="G12" s="17"/>
      <c r="H12" s="4"/>
      <c r="I12" s="29">
        <v>18</v>
      </c>
      <c r="J12" s="17">
        <v>1500</v>
      </c>
      <c r="K12" s="16">
        <f t="shared" si="1"/>
        <v>83.333333333333329</v>
      </c>
      <c r="L12" s="29">
        <v>18</v>
      </c>
      <c r="M12" s="17">
        <f>AVERAGE(M10:M11)</f>
        <v>1431.24352925008</v>
      </c>
      <c r="N12" s="16">
        <f t="shared" si="3"/>
        <v>79.513529402782225</v>
      </c>
      <c r="O12" s="18">
        <f t="shared" si="4"/>
        <v>0</v>
      </c>
      <c r="P12" s="19">
        <f t="shared" si="5"/>
        <v>-3.8198039305511031</v>
      </c>
      <c r="Q12" s="20">
        <f t="shared" si="6"/>
        <v>0.9541623528333868</v>
      </c>
      <c r="R12" s="170"/>
      <c r="S12" s="27"/>
      <c r="T12" s="27"/>
      <c r="U12" s="16"/>
      <c r="V12" s="21"/>
      <c r="W12" s="16"/>
      <c r="X12" s="16"/>
      <c r="Y12" s="30">
        <f>SUM(Y10:Y11)</f>
        <v>0</v>
      </c>
      <c r="Z12" s="30">
        <f>SUM(Z10:Z11)</f>
        <v>0</v>
      </c>
      <c r="AA12" s="166"/>
      <c r="AB12" s="166"/>
      <c r="AC12" s="30">
        <v>2</v>
      </c>
      <c r="AD12" s="30">
        <f>SUM(AD10:AD11)</f>
        <v>0</v>
      </c>
      <c r="AE12" s="18">
        <f t="shared" si="8"/>
        <v>-68.756470749920027</v>
      </c>
      <c r="AF12" s="20">
        <f t="shared" si="9"/>
        <v>0.95416235283338668</v>
      </c>
      <c r="AG12" s="170"/>
    </row>
    <row r="13" spans="1:33" ht="16.5" customHeight="1">
      <c r="A13" s="194" t="s">
        <v>1861</v>
      </c>
      <c r="B13" s="4" t="s">
        <v>87</v>
      </c>
      <c r="C13" s="190" t="s">
        <v>88</v>
      </c>
      <c r="D13" s="190"/>
      <c r="E13" s="35">
        <v>41</v>
      </c>
      <c r="F13" s="4">
        <v>2182</v>
      </c>
      <c r="G13" s="4">
        <f t="shared" ref="G13:G16" si="15">E13*F13</f>
        <v>89462</v>
      </c>
      <c r="H13" s="21" t="s">
        <v>133</v>
      </c>
      <c r="I13" s="15">
        <v>26</v>
      </c>
      <c r="J13" s="17">
        <v>1500</v>
      </c>
      <c r="K13" s="16">
        <f t="shared" si="1"/>
        <v>57.692307692307693</v>
      </c>
      <c r="L13" s="15">
        <v>26</v>
      </c>
      <c r="M13" s="17">
        <f t="shared" ref="M13:M16" si="16">F13/V13*60</f>
        <v>1438.6813186813181</v>
      </c>
      <c r="N13" s="16">
        <f t="shared" si="3"/>
        <v>55.333896872358387</v>
      </c>
      <c r="O13" s="18">
        <f t="shared" si="4"/>
        <v>0</v>
      </c>
      <c r="P13" s="19">
        <f t="shared" si="5"/>
        <v>-2.3584108199493059</v>
      </c>
      <c r="Q13" s="20">
        <f t="shared" si="6"/>
        <v>0.95912087912087873</v>
      </c>
      <c r="R13" s="170">
        <f>Q17</f>
        <v>0.96883311002640504</v>
      </c>
      <c r="S13" s="27">
        <v>0.20833333333333334</v>
      </c>
      <c r="T13" s="27">
        <v>0.27152777777777781</v>
      </c>
      <c r="U13" s="4"/>
      <c r="V13" s="21">
        <f t="shared" ref="V13:V16" si="17">(T13-S13)*24*60</f>
        <v>91.000000000000043</v>
      </c>
      <c r="W13" s="27"/>
      <c r="X13" s="27"/>
      <c r="Y13" s="27"/>
      <c r="Z13" s="27"/>
      <c r="AA13" s="162"/>
      <c r="AB13" s="162"/>
      <c r="AC13" s="24">
        <v>4</v>
      </c>
      <c r="AD13" s="24"/>
      <c r="AE13" s="18">
        <f t="shared" si="8"/>
        <v>-61.318681318681911</v>
      </c>
      <c r="AF13" s="20">
        <f t="shared" si="9"/>
        <v>0.95912087912087873</v>
      </c>
      <c r="AG13" s="170">
        <f>AF17</f>
        <v>0.96883311002640504</v>
      </c>
    </row>
    <row r="14" spans="1:33" ht="16.5" customHeight="1">
      <c r="A14" s="195" t="s">
        <v>1862</v>
      </c>
      <c r="B14" s="4" t="s">
        <v>78</v>
      </c>
      <c r="C14" s="190" t="s">
        <v>89</v>
      </c>
      <c r="D14" s="190"/>
      <c r="E14" s="35">
        <v>50.98</v>
      </c>
      <c r="F14" s="4">
        <v>2274</v>
      </c>
      <c r="G14" s="4">
        <f t="shared" si="15"/>
        <v>115928.51999999999</v>
      </c>
      <c r="H14" s="21" t="s">
        <v>133</v>
      </c>
      <c r="I14" s="15">
        <v>16</v>
      </c>
      <c r="J14" s="17">
        <v>2000</v>
      </c>
      <c r="K14" s="16">
        <f t="shared" si="1"/>
        <v>125</v>
      </c>
      <c r="L14" s="15">
        <v>16</v>
      </c>
      <c r="M14" s="17">
        <f t="shared" si="16"/>
        <v>1921.6901408450685</v>
      </c>
      <c r="N14" s="16">
        <f t="shared" si="3"/>
        <v>120.10563380281678</v>
      </c>
      <c r="O14" s="18">
        <f t="shared" si="4"/>
        <v>0</v>
      </c>
      <c r="P14" s="19">
        <f t="shared" si="5"/>
        <v>-4.8943661971832171</v>
      </c>
      <c r="Q14" s="20">
        <f t="shared" si="6"/>
        <v>0.96084507042253431</v>
      </c>
      <c r="R14" s="170"/>
      <c r="S14" s="27">
        <v>0.70833333333333337</v>
      </c>
      <c r="T14" s="27">
        <v>0.75763888888888897</v>
      </c>
      <c r="U14" s="4" t="str">
        <f t="shared" ref="U14:U16" si="18">IF(S14=TIME(17,0,0),"",(S14-T13)*24*60)</f>
        <v/>
      </c>
      <c r="V14" s="21">
        <f t="shared" si="17"/>
        <v>71.000000000000071</v>
      </c>
      <c r="W14" s="22"/>
      <c r="X14" s="22"/>
      <c r="Y14" s="22"/>
      <c r="Z14" s="22"/>
      <c r="AA14" s="162"/>
      <c r="AB14" s="162"/>
      <c r="AC14" s="24"/>
      <c r="AD14" s="24"/>
      <c r="AE14" s="18">
        <f t="shared" si="8"/>
        <v>-78.309859154931473</v>
      </c>
      <c r="AF14" s="20">
        <f t="shared" si="9"/>
        <v>0.96084507042253431</v>
      </c>
      <c r="AG14" s="170"/>
    </row>
    <row r="15" spans="1:33" ht="16.5" customHeight="1">
      <c r="A15" s="195" t="s">
        <v>1863</v>
      </c>
      <c r="B15" s="4" t="s">
        <v>78</v>
      </c>
      <c r="C15" s="190" t="s">
        <v>83</v>
      </c>
      <c r="D15" s="190"/>
      <c r="E15" s="35">
        <v>50.67</v>
      </c>
      <c r="F15" s="4">
        <v>531</v>
      </c>
      <c r="G15" s="4">
        <f t="shared" si="15"/>
        <v>26905.77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1991.2500000000073</v>
      </c>
      <c r="N15" s="16">
        <f t="shared" si="3"/>
        <v>124.45312500000045</v>
      </c>
      <c r="O15" s="18">
        <f t="shared" si="4"/>
        <v>0</v>
      </c>
      <c r="P15" s="19">
        <f t="shared" si="5"/>
        <v>-0.54687499999954525</v>
      </c>
      <c r="Q15" s="20">
        <f t="shared" si="6"/>
        <v>0.99562500000000365</v>
      </c>
      <c r="R15" s="170"/>
      <c r="S15" s="27">
        <v>0.76250000000000007</v>
      </c>
      <c r="T15" s="27">
        <v>0.77361111111111114</v>
      </c>
      <c r="U15" s="4">
        <f t="shared" si="18"/>
        <v>6.9999999999999751</v>
      </c>
      <c r="V15" s="21">
        <f t="shared" si="17"/>
        <v>15.999999999999943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-8.749999999992724</v>
      </c>
      <c r="AF15" s="20">
        <f t="shared" si="9"/>
        <v>0.99562500000000365</v>
      </c>
      <c r="AG15" s="170"/>
    </row>
    <row r="16" spans="1:33" ht="16.5" customHeight="1">
      <c r="A16" s="195" t="s">
        <v>1862</v>
      </c>
      <c r="B16" s="4" t="s">
        <v>78</v>
      </c>
      <c r="C16" s="190" t="s">
        <v>90</v>
      </c>
      <c r="D16" s="190"/>
      <c r="E16" s="35">
        <v>50.92</v>
      </c>
      <c r="F16" s="4">
        <v>2138</v>
      </c>
      <c r="G16" s="4">
        <f t="shared" si="15"/>
        <v>108866.96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1914.6268656716443</v>
      </c>
      <c r="N16" s="16">
        <f t="shared" si="3"/>
        <v>127.64179104477628</v>
      </c>
      <c r="O16" s="18">
        <f t="shared" si="4"/>
        <v>0</v>
      </c>
      <c r="P16" s="19">
        <f t="shared" si="5"/>
        <v>-5.6915422885570592</v>
      </c>
      <c r="Q16" s="20">
        <f t="shared" si="6"/>
        <v>0.95731343283582204</v>
      </c>
      <c r="R16" s="170"/>
      <c r="S16" s="27">
        <v>0.77708333333333335</v>
      </c>
      <c r="T16" s="27">
        <v>0.82361111111111107</v>
      </c>
      <c r="U16" s="4">
        <f t="shared" si="18"/>
        <v>4.9999999999999822</v>
      </c>
      <c r="V16" s="21">
        <f t="shared" si="17"/>
        <v>66.999999999999915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-85.373134328355718</v>
      </c>
      <c r="AF16" s="20">
        <f t="shared" si="9"/>
        <v>0.95731343283582215</v>
      </c>
      <c r="AG16" s="170"/>
    </row>
    <row r="17" spans="1:33" ht="16.5" customHeight="1">
      <c r="A17" s="195" t="s">
        <v>1862</v>
      </c>
      <c r="B17" s="35" t="s">
        <v>1864</v>
      </c>
      <c r="C17" s="171"/>
      <c r="D17" s="171"/>
      <c r="E17" s="36"/>
      <c r="F17" s="16"/>
      <c r="G17" s="16"/>
      <c r="H17" s="4"/>
      <c r="I17" s="29">
        <v>18.25</v>
      </c>
      <c r="J17" s="17">
        <v>1875</v>
      </c>
      <c r="K17" s="16">
        <f t="shared" si="1"/>
        <v>102.73972602739725</v>
      </c>
      <c r="L17" s="29">
        <v>18.25</v>
      </c>
      <c r="M17" s="17">
        <f>AVERAGE(M13:M16)</f>
        <v>1816.5620812995094</v>
      </c>
      <c r="N17" s="16">
        <f t="shared" si="3"/>
        <v>99.53764829038407</v>
      </c>
      <c r="O17" s="18">
        <f t="shared" si="4"/>
        <v>0</v>
      </c>
      <c r="P17" s="19">
        <f t="shared" si="5"/>
        <v>-3.2020777370131839</v>
      </c>
      <c r="Q17" s="20">
        <f t="shared" si="6"/>
        <v>0.96883311002640504</v>
      </c>
      <c r="R17" s="170"/>
      <c r="S17" s="27"/>
      <c r="T17" s="27"/>
      <c r="U17" s="4"/>
      <c r="V17" s="21"/>
      <c r="W17" s="16"/>
      <c r="X17" s="16"/>
      <c r="Y17" s="30">
        <f>SUM(Y13:Y16)</f>
        <v>0</v>
      </c>
      <c r="Z17" s="30">
        <f>SUM(Z13:Z16)</f>
        <v>0</v>
      </c>
      <c r="AA17" s="166"/>
      <c r="AB17" s="166"/>
      <c r="AC17" s="30">
        <v>4</v>
      </c>
      <c r="AD17" s="30">
        <f>SUM(AD13:AD16)</f>
        <v>0</v>
      </c>
      <c r="AE17" s="18">
        <f t="shared" si="8"/>
        <v>-58.437918700490627</v>
      </c>
      <c r="AF17" s="20">
        <f t="shared" si="9"/>
        <v>0.96883311002640504</v>
      </c>
      <c r="AG17" s="170"/>
    </row>
    <row r="18" spans="1:33" ht="15.75" customHeight="1">
      <c r="A18" s="192" t="s">
        <v>1865</v>
      </c>
      <c r="B18" s="35" t="s">
        <v>78</v>
      </c>
      <c r="C18" s="190" t="s">
        <v>92</v>
      </c>
      <c r="D18" s="190"/>
      <c r="E18" s="35">
        <v>57.73</v>
      </c>
      <c r="F18" s="4">
        <v>2264</v>
      </c>
      <c r="G18" s="4">
        <f t="shared" ref="G18:G22" si="19">E18*F18</f>
        <v>130700.71999999999</v>
      </c>
      <c r="H18" s="21" t="s">
        <v>133</v>
      </c>
      <c r="I18" s="15">
        <v>14</v>
      </c>
      <c r="J18" s="17">
        <v>2000</v>
      </c>
      <c r="K18" s="16">
        <f t="shared" si="1"/>
        <v>142.85714285714286</v>
      </c>
      <c r="L18" s="15">
        <v>14</v>
      </c>
      <c r="M18" s="17">
        <f t="shared" ref="M18:M22" si="20">F18/V18*60</f>
        <v>1913.2394366197175</v>
      </c>
      <c r="N18" s="16">
        <f t="shared" si="3"/>
        <v>136.65995975855125</v>
      </c>
      <c r="O18" s="18">
        <f t="shared" si="4"/>
        <v>0</v>
      </c>
      <c r="P18" s="19">
        <f t="shared" si="5"/>
        <v>-6.1971830985916085</v>
      </c>
      <c r="Q18" s="20">
        <f t="shared" si="6"/>
        <v>0.9566197183098587</v>
      </c>
      <c r="R18" s="170">
        <f>Q23</f>
        <v>0.96045742829098502</v>
      </c>
      <c r="S18" s="27">
        <v>0.20833333333333334</v>
      </c>
      <c r="T18" s="27">
        <v>0.25763888888888892</v>
      </c>
      <c r="U18" s="4"/>
      <c r="V18" s="21">
        <f t="shared" ref="V18:V22" si="21">(T18-S18)*24*60</f>
        <v>71.000000000000028</v>
      </c>
      <c r="W18" s="27"/>
      <c r="X18" s="27"/>
      <c r="Y18" s="27"/>
      <c r="Z18" s="27"/>
      <c r="AA18" s="162"/>
      <c r="AB18" s="162"/>
      <c r="AC18" s="24">
        <v>5</v>
      </c>
      <c r="AD18" s="24"/>
      <c r="AE18" s="18">
        <f t="shared" si="8"/>
        <v>-86.76056338028252</v>
      </c>
      <c r="AF18" s="20">
        <f t="shared" si="9"/>
        <v>0.9566197183098587</v>
      </c>
      <c r="AG18" s="170">
        <f>AF23</f>
        <v>0.96045742829098513</v>
      </c>
    </row>
    <row r="19" spans="1:33" ht="15.75" customHeight="1">
      <c r="A19" s="193" t="s">
        <v>1866</v>
      </c>
      <c r="B19" s="35" t="s">
        <v>78</v>
      </c>
      <c r="C19" s="190" t="s">
        <v>93</v>
      </c>
      <c r="D19" s="190"/>
      <c r="E19" s="35">
        <v>53.68</v>
      </c>
      <c r="F19" s="4">
        <v>1390</v>
      </c>
      <c r="G19" s="4">
        <f t="shared" si="19"/>
        <v>74615.199999999997</v>
      </c>
      <c r="H19" s="21" t="s">
        <v>133</v>
      </c>
      <c r="I19" s="15">
        <v>16</v>
      </c>
      <c r="J19" s="17">
        <v>2000</v>
      </c>
      <c r="K19" s="16">
        <f t="shared" si="1"/>
        <v>125</v>
      </c>
      <c r="L19" s="15">
        <v>16</v>
      </c>
      <c r="M19" s="17">
        <f t="shared" si="20"/>
        <v>1939.5348837209301</v>
      </c>
      <c r="N19" s="16">
        <f t="shared" si="3"/>
        <v>121.22093023255813</v>
      </c>
      <c r="O19" s="18">
        <f t="shared" si="4"/>
        <v>0</v>
      </c>
      <c r="P19" s="19">
        <f t="shared" si="5"/>
        <v>-3.7790697674418681</v>
      </c>
      <c r="Q19" s="20">
        <f t="shared" si="6"/>
        <v>0.96976744186046504</v>
      </c>
      <c r="R19" s="170"/>
      <c r="S19" s="27">
        <v>0.26250000000000001</v>
      </c>
      <c r="T19" s="27">
        <v>0.29236111111111113</v>
      </c>
      <c r="U19" s="4">
        <f t="shared" ref="U19:U22" si="22">IF(S19=TIME(17,0,0),"",(S19-T18)*24*60)</f>
        <v>6.9999999999999751</v>
      </c>
      <c r="V19" s="21">
        <f t="shared" si="21"/>
        <v>43.000000000000007</v>
      </c>
      <c r="W19" s="22"/>
      <c r="X19" s="4"/>
      <c r="Y19" s="4"/>
      <c r="Z19" s="4"/>
      <c r="AA19" s="162"/>
      <c r="AB19" s="162"/>
      <c r="AC19" s="24"/>
      <c r="AD19" s="24"/>
      <c r="AE19" s="18">
        <f t="shared" si="8"/>
        <v>-60.465116279069889</v>
      </c>
      <c r="AF19" s="20">
        <f t="shared" si="9"/>
        <v>0.96976744186046504</v>
      </c>
      <c r="AG19" s="170"/>
    </row>
    <row r="20" spans="1:33" ht="15.75" customHeight="1">
      <c r="A20" s="193" t="s">
        <v>1867</v>
      </c>
      <c r="B20" s="35" t="s">
        <v>78</v>
      </c>
      <c r="C20" s="190" t="s">
        <v>94</v>
      </c>
      <c r="D20" s="190"/>
      <c r="E20" s="35">
        <v>50.49</v>
      </c>
      <c r="F20" s="4">
        <v>1950</v>
      </c>
      <c r="G20" s="4">
        <f t="shared" si="19"/>
        <v>98455.5</v>
      </c>
      <c r="H20" s="21" t="s">
        <v>133</v>
      </c>
      <c r="I20" s="15">
        <v>15</v>
      </c>
      <c r="J20" s="17">
        <v>2000</v>
      </c>
      <c r="K20" s="16">
        <f t="shared" si="1"/>
        <v>133.33333333333334</v>
      </c>
      <c r="L20" s="15">
        <v>15</v>
      </c>
      <c r="M20" s="17">
        <f t="shared" si="20"/>
        <v>1918.0327868852476</v>
      </c>
      <c r="N20" s="16">
        <f t="shared" si="3"/>
        <v>127.86885245901651</v>
      </c>
      <c r="O20" s="18">
        <f t="shared" si="4"/>
        <v>0</v>
      </c>
      <c r="P20" s="19">
        <f t="shared" si="5"/>
        <v>-5.464480874316834</v>
      </c>
      <c r="Q20" s="20">
        <f t="shared" si="6"/>
        <v>0.95901639344262379</v>
      </c>
      <c r="R20" s="170"/>
      <c r="S20" s="27">
        <v>0.70833333333333337</v>
      </c>
      <c r="T20" s="27">
        <v>0.75069444444444444</v>
      </c>
      <c r="U20" s="4" t="str">
        <f t="shared" si="22"/>
        <v/>
      </c>
      <c r="V20" s="21">
        <f t="shared" si="21"/>
        <v>60.999999999999943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-81.96721311475244</v>
      </c>
      <c r="AF20" s="20">
        <f t="shared" si="9"/>
        <v>0.95901639344262379</v>
      </c>
      <c r="AG20" s="170"/>
    </row>
    <row r="21" spans="1:33" ht="15.75" customHeight="1">
      <c r="A21" s="193" t="s">
        <v>1868</v>
      </c>
      <c r="B21" s="35" t="s">
        <v>78</v>
      </c>
      <c r="C21" s="190" t="s">
        <v>96</v>
      </c>
      <c r="D21" s="190"/>
      <c r="E21" s="35">
        <v>57.3</v>
      </c>
      <c r="F21" s="4">
        <v>1600</v>
      </c>
      <c r="G21" s="4">
        <f t="shared" si="19"/>
        <v>91680</v>
      </c>
      <c r="H21" s="21" t="s">
        <v>133</v>
      </c>
      <c r="I21" s="15">
        <v>13</v>
      </c>
      <c r="J21" s="17">
        <v>2000</v>
      </c>
      <c r="K21" s="16">
        <f t="shared" si="1"/>
        <v>153.84615384615384</v>
      </c>
      <c r="L21" s="15">
        <v>13</v>
      </c>
      <c r="M21" s="17">
        <f t="shared" si="20"/>
        <v>1920.0000000000005</v>
      </c>
      <c r="N21" s="16">
        <f t="shared" si="3"/>
        <v>147.69230769230774</v>
      </c>
      <c r="O21" s="18">
        <f t="shared" si="4"/>
        <v>0</v>
      </c>
      <c r="P21" s="19">
        <f t="shared" si="5"/>
        <v>-6.1538461538461036</v>
      </c>
      <c r="Q21" s="20">
        <f t="shared" si="6"/>
        <v>0.9600000000000003</v>
      </c>
      <c r="R21" s="170"/>
      <c r="S21" s="27">
        <v>0.75416666666666665</v>
      </c>
      <c r="T21" s="27">
        <v>0.78888888888888886</v>
      </c>
      <c r="U21" s="4">
        <f t="shared" si="22"/>
        <v>4.9999999999999822</v>
      </c>
      <c r="V21" s="21">
        <f t="shared" si="21"/>
        <v>49.999999999999986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-79.999999999999545</v>
      </c>
      <c r="AF21" s="20">
        <f t="shared" si="9"/>
        <v>0.96000000000000019</v>
      </c>
      <c r="AG21" s="170"/>
    </row>
    <row r="22" spans="1:33" ht="15.75" customHeight="1">
      <c r="A22" s="193" t="s">
        <v>1865</v>
      </c>
      <c r="B22" s="35" t="s">
        <v>78</v>
      </c>
      <c r="C22" s="190" t="s">
        <v>95</v>
      </c>
      <c r="D22" s="190"/>
      <c r="E22" s="35">
        <v>53.68</v>
      </c>
      <c r="F22" s="4">
        <v>1553</v>
      </c>
      <c r="G22" s="4">
        <f t="shared" si="19"/>
        <v>83365.039999999994</v>
      </c>
      <c r="H22" s="21" t="s">
        <v>133</v>
      </c>
      <c r="I22" s="15">
        <v>16</v>
      </c>
      <c r="J22" s="17">
        <v>1500</v>
      </c>
      <c r="K22" s="16">
        <f t="shared" si="1"/>
        <v>93.75</v>
      </c>
      <c r="L22" s="15">
        <v>16</v>
      </c>
      <c r="M22" s="17">
        <f t="shared" si="20"/>
        <v>1433.538461538463</v>
      </c>
      <c r="N22" s="16">
        <f t="shared" si="3"/>
        <v>89.596153846153939</v>
      </c>
      <c r="O22" s="18">
        <f t="shared" si="4"/>
        <v>0</v>
      </c>
      <c r="P22" s="19">
        <f t="shared" si="5"/>
        <v>-4.1538461538460609</v>
      </c>
      <c r="Q22" s="20">
        <f t="shared" si="6"/>
        <v>0.95569230769230873</v>
      </c>
      <c r="R22" s="170"/>
      <c r="S22" s="27">
        <v>0.79305555555555551</v>
      </c>
      <c r="T22" s="27">
        <v>0.83819444444444435</v>
      </c>
      <c r="U22" s="4">
        <f t="shared" si="22"/>
        <v>5.9999999999999787</v>
      </c>
      <c r="V22" s="21">
        <f t="shared" si="21"/>
        <v>64.999999999999929</v>
      </c>
      <c r="W22" s="22"/>
      <c r="X22" s="22"/>
      <c r="Y22" s="4"/>
      <c r="Z22" s="4"/>
      <c r="AA22" s="162"/>
      <c r="AB22" s="162"/>
      <c r="AC22" s="24"/>
      <c r="AD22" s="24"/>
      <c r="AE22" s="18">
        <f t="shared" si="8"/>
        <v>-66.461538461536975</v>
      </c>
      <c r="AF22" s="20">
        <f t="shared" si="9"/>
        <v>0.95569230769230873</v>
      </c>
      <c r="AG22" s="170"/>
    </row>
    <row r="23" spans="1:33" ht="15.75" customHeight="1">
      <c r="A23" s="193" t="s">
        <v>1869</v>
      </c>
      <c r="B23" s="35" t="s">
        <v>1870</v>
      </c>
      <c r="C23" s="171"/>
      <c r="D23" s="171"/>
      <c r="E23" s="36"/>
      <c r="F23" s="4"/>
      <c r="G23" s="4"/>
      <c r="H23" s="4"/>
      <c r="I23" s="29">
        <v>14.8</v>
      </c>
      <c r="J23" s="17">
        <v>1900</v>
      </c>
      <c r="K23" s="16">
        <f t="shared" si="1"/>
        <v>128.37837837837839</v>
      </c>
      <c r="L23" s="29">
        <v>14.8</v>
      </c>
      <c r="M23" s="17">
        <f>AVERAGE(M18:M22)</f>
        <v>1824.8691137528717</v>
      </c>
      <c r="N23" s="16">
        <f t="shared" si="3"/>
        <v>123.3019671454643</v>
      </c>
      <c r="O23" s="18">
        <f t="shared" si="4"/>
        <v>0</v>
      </c>
      <c r="P23" s="19">
        <f t="shared" si="5"/>
        <v>-5.0764112329140829</v>
      </c>
      <c r="Q23" s="20">
        <f t="shared" si="6"/>
        <v>0.96045742829098502</v>
      </c>
      <c r="R23" s="170"/>
      <c r="S23" s="27"/>
      <c r="T23" s="27"/>
      <c r="U23" s="16"/>
      <c r="V23" s="21"/>
      <c r="W23" s="16"/>
      <c r="X23" s="16"/>
      <c r="Y23" s="30">
        <f>SUM(Y18:Y22)</f>
        <v>0</v>
      </c>
      <c r="Z23" s="30">
        <f>SUM(Z18:Z22)</f>
        <v>0</v>
      </c>
      <c r="AA23" s="166"/>
      <c r="AB23" s="166"/>
      <c r="AC23" s="30">
        <v>5</v>
      </c>
      <c r="AD23" s="30">
        <f>SUM(AD18:AD22)</f>
        <v>0</v>
      </c>
      <c r="AE23" s="18">
        <f t="shared" si="8"/>
        <v>-75.130886247128274</v>
      </c>
      <c r="AF23" s="20">
        <f t="shared" si="9"/>
        <v>0.96045742829098513</v>
      </c>
      <c r="AG23" s="170"/>
    </row>
    <row r="24" spans="1:33" ht="15.75" customHeight="1">
      <c r="A24" s="191" t="s">
        <v>1871</v>
      </c>
      <c r="B24" s="35" t="s">
        <v>97</v>
      </c>
      <c r="C24" s="190" t="s">
        <v>98</v>
      </c>
      <c r="D24" s="190"/>
      <c r="E24" s="35">
        <v>31.29</v>
      </c>
      <c r="F24" s="4">
        <v>7684</v>
      </c>
      <c r="G24" s="4">
        <f t="shared" ref="G24:G28" si="23">E24*F24</f>
        <v>240432.36</v>
      </c>
      <c r="H24" s="21" t="s">
        <v>133</v>
      </c>
      <c r="I24" s="15">
        <v>18</v>
      </c>
      <c r="J24" s="17">
        <v>2400</v>
      </c>
      <c r="K24" s="16">
        <f t="shared" si="1"/>
        <v>133.33333333333334</v>
      </c>
      <c r="L24" s="15">
        <v>18</v>
      </c>
      <c r="M24" s="17">
        <f t="shared" ref="M24:M28" si="24">F24/V24*60</f>
        <v>2282.3762376237623</v>
      </c>
      <c r="N24" s="16">
        <f t="shared" si="3"/>
        <v>126.79867986798679</v>
      </c>
      <c r="O24" s="18">
        <f t="shared" si="4"/>
        <v>0</v>
      </c>
      <c r="P24" s="19">
        <f t="shared" si="5"/>
        <v>-6.5346534653465511</v>
      </c>
      <c r="Q24" s="20">
        <f t="shared" si="6"/>
        <v>0.95099009900990084</v>
      </c>
      <c r="R24" s="170">
        <f>Q29</f>
        <v>0.95572520728037991</v>
      </c>
      <c r="S24" s="27">
        <v>8.3333333333333329E-2</v>
      </c>
      <c r="T24" s="27">
        <v>0.22361111111111109</v>
      </c>
      <c r="U24" s="4"/>
      <c r="V24" s="21">
        <f t="shared" ref="V24:V28" si="25">(T24-S24)*24*60</f>
        <v>202</v>
      </c>
      <c r="W24" s="22">
        <f>T24</f>
        <v>0.22361111111111109</v>
      </c>
      <c r="X24" s="22">
        <f>S25</f>
        <v>0.24236111111111108</v>
      </c>
      <c r="Y24" s="22"/>
      <c r="Z24" s="22"/>
      <c r="AA24" s="162"/>
      <c r="AB24" s="162"/>
      <c r="AC24" s="24">
        <v>5</v>
      </c>
      <c r="AD24" s="24"/>
      <c r="AE24" s="18">
        <f t="shared" si="8"/>
        <v>-117.62376237623766</v>
      </c>
      <c r="AF24" s="20">
        <f t="shared" si="9"/>
        <v>0.95099009900990095</v>
      </c>
      <c r="AG24" s="170">
        <f>AF29</f>
        <v>0.9557252072803798</v>
      </c>
    </row>
    <row r="25" spans="1:33" ht="15.75" customHeight="1">
      <c r="A25" s="191" t="s">
        <v>1872</v>
      </c>
      <c r="B25" s="35" t="s">
        <v>97</v>
      </c>
      <c r="C25" s="190" t="s">
        <v>99</v>
      </c>
      <c r="D25" s="190"/>
      <c r="E25" s="35">
        <v>25.98</v>
      </c>
      <c r="F25" s="4">
        <v>2532</v>
      </c>
      <c r="G25" s="4">
        <f t="shared" si="23"/>
        <v>65781.36</v>
      </c>
      <c r="H25" s="21" t="s">
        <v>133</v>
      </c>
      <c r="I25" s="15">
        <v>21</v>
      </c>
      <c r="J25" s="17">
        <v>2400</v>
      </c>
      <c r="K25" s="16">
        <f t="shared" si="1"/>
        <v>114.28571428571429</v>
      </c>
      <c r="L25" s="15">
        <v>21</v>
      </c>
      <c r="M25" s="17">
        <f t="shared" si="24"/>
        <v>2301.818181818182</v>
      </c>
      <c r="N25" s="16">
        <f t="shared" si="3"/>
        <v>109.61038961038962</v>
      </c>
      <c r="O25" s="18">
        <f t="shared" si="4"/>
        <v>0</v>
      </c>
      <c r="P25" s="19">
        <f t="shared" si="5"/>
        <v>-4.6753246753246742</v>
      </c>
      <c r="Q25" s="20">
        <f t="shared" si="6"/>
        <v>0.95909090909090911</v>
      </c>
      <c r="R25" s="170"/>
      <c r="S25" s="27">
        <v>0.24236111111111108</v>
      </c>
      <c r="T25" s="27">
        <v>0.28819444444444442</v>
      </c>
      <c r="U25" s="4">
        <f t="shared" ref="U25:U28" si="26">(S25-T24)*24*60</f>
        <v>26.999999999999986</v>
      </c>
      <c r="V25" s="21">
        <f t="shared" si="25"/>
        <v>66</v>
      </c>
      <c r="W25" s="22"/>
      <c r="X25" s="22"/>
      <c r="Y25" s="22"/>
      <c r="Z25" s="22"/>
      <c r="AA25" s="162"/>
      <c r="AB25" s="162"/>
      <c r="AC25" s="24"/>
      <c r="AD25" s="24"/>
      <c r="AE25" s="18">
        <f t="shared" si="8"/>
        <v>-98.181818181818016</v>
      </c>
      <c r="AF25" s="20">
        <f t="shared" si="9"/>
        <v>0.95909090909090911</v>
      </c>
      <c r="AG25" s="170"/>
    </row>
    <row r="26" spans="1:33" ht="15.75" customHeight="1">
      <c r="A26" s="191" t="s">
        <v>1873</v>
      </c>
      <c r="B26" s="35" t="s">
        <v>97</v>
      </c>
      <c r="C26" s="190" t="s">
        <v>100</v>
      </c>
      <c r="D26" s="190"/>
      <c r="E26" s="35">
        <v>26.2</v>
      </c>
      <c r="F26" s="4">
        <v>4365</v>
      </c>
      <c r="G26" s="4">
        <f t="shared" si="23"/>
        <v>114363</v>
      </c>
      <c r="H26" s="21" t="s">
        <v>133</v>
      </c>
      <c r="I26" s="15">
        <v>20</v>
      </c>
      <c r="J26" s="17">
        <v>2400</v>
      </c>
      <c r="K26" s="16">
        <f t="shared" si="1"/>
        <v>120</v>
      </c>
      <c r="L26" s="15">
        <v>20</v>
      </c>
      <c r="M26" s="17">
        <f t="shared" si="24"/>
        <v>2297.3684210526317</v>
      </c>
      <c r="N26" s="16">
        <f t="shared" si="3"/>
        <v>114.86842105263159</v>
      </c>
      <c r="O26" s="18">
        <f t="shared" si="4"/>
        <v>0</v>
      </c>
      <c r="P26" s="19">
        <f t="shared" si="5"/>
        <v>-5.1315789473684106</v>
      </c>
      <c r="Q26" s="20">
        <f t="shared" si="6"/>
        <v>0.95723684210526327</v>
      </c>
      <c r="R26" s="170"/>
      <c r="S26" s="27">
        <v>0.29305555555555551</v>
      </c>
      <c r="T26" s="27">
        <v>0.37222222222222218</v>
      </c>
      <c r="U26" s="4">
        <f t="shared" si="26"/>
        <v>6.9999999999999751</v>
      </c>
      <c r="V26" s="21">
        <f t="shared" si="25"/>
        <v>114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-102.63157894736833</v>
      </c>
      <c r="AF26" s="20">
        <f t="shared" si="9"/>
        <v>0.95723684210526316</v>
      </c>
      <c r="AG26" s="170"/>
    </row>
    <row r="27" spans="1:33" ht="15.75" customHeight="1">
      <c r="A27" s="191" t="s">
        <v>1871</v>
      </c>
      <c r="B27" s="35" t="s">
        <v>97</v>
      </c>
      <c r="C27" s="190" t="s">
        <v>101</v>
      </c>
      <c r="D27" s="190"/>
      <c r="E27" s="35">
        <v>25.99</v>
      </c>
      <c r="F27" s="4">
        <v>3407</v>
      </c>
      <c r="G27" s="4">
        <f t="shared" si="23"/>
        <v>88547.93</v>
      </c>
      <c r="H27" s="21" t="s">
        <v>133</v>
      </c>
      <c r="I27" s="15">
        <v>14</v>
      </c>
      <c r="J27" s="17">
        <v>2400</v>
      </c>
      <c r="K27" s="16">
        <f t="shared" si="1"/>
        <v>171.42857142857142</v>
      </c>
      <c r="L27" s="15">
        <v>14</v>
      </c>
      <c r="M27" s="17">
        <f t="shared" si="24"/>
        <v>2296.8539325842694</v>
      </c>
      <c r="N27" s="16">
        <f t="shared" si="3"/>
        <v>164.06099518459067</v>
      </c>
      <c r="O27" s="18">
        <f t="shared" si="4"/>
        <v>0</v>
      </c>
      <c r="P27" s="19">
        <f t="shared" si="5"/>
        <v>-7.36757624398075</v>
      </c>
      <c r="Q27" s="20">
        <f t="shared" si="6"/>
        <v>0.95702247191011225</v>
      </c>
      <c r="R27" s="170"/>
      <c r="S27" s="27">
        <v>0.37638888888888883</v>
      </c>
      <c r="T27" s="27">
        <v>0.43819444444444439</v>
      </c>
      <c r="U27" s="4">
        <f t="shared" si="26"/>
        <v>5.9999999999999787</v>
      </c>
      <c r="V27" s="21">
        <f t="shared" si="25"/>
        <v>89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-103.14606741573061</v>
      </c>
      <c r="AF27" s="20">
        <f t="shared" si="9"/>
        <v>0.95702247191011225</v>
      </c>
      <c r="AG27" s="170"/>
    </row>
    <row r="28" spans="1:33" ht="15.75" customHeight="1">
      <c r="A28" s="191" t="s">
        <v>54</v>
      </c>
      <c r="B28" s="35" t="s">
        <v>97</v>
      </c>
      <c r="C28" s="190" t="s">
        <v>102</v>
      </c>
      <c r="D28" s="190"/>
      <c r="E28" s="35">
        <v>26.18</v>
      </c>
      <c r="F28" s="4">
        <v>1336</v>
      </c>
      <c r="G28" s="4">
        <f t="shared" si="23"/>
        <v>34976.480000000003</v>
      </c>
      <c r="H28" s="21" t="s">
        <v>133</v>
      </c>
      <c r="I28" s="15">
        <v>19</v>
      </c>
      <c r="J28" s="17">
        <v>2400</v>
      </c>
      <c r="K28" s="16">
        <f t="shared" si="1"/>
        <v>126.31578947368421</v>
      </c>
      <c r="L28" s="15">
        <v>19</v>
      </c>
      <c r="M28" s="17">
        <f t="shared" si="24"/>
        <v>2290.2857142857119</v>
      </c>
      <c r="N28" s="16">
        <f t="shared" si="3"/>
        <v>120.54135338345853</v>
      </c>
      <c r="O28" s="18">
        <f t="shared" si="4"/>
        <v>0</v>
      </c>
      <c r="P28" s="19">
        <f t="shared" si="5"/>
        <v>-5.7744360902256773</v>
      </c>
      <c r="Q28" s="20">
        <f t="shared" si="6"/>
        <v>0.9542857142857134</v>
      </c>
      <c r="R28" s="170"/>
      <c r="S28" s="27">
        <v>0.44374999999999992</v>
      </c>
      <c r="T28" s="27">
        <v>0.4680555555555555</v>
      </c>
      <c r="U28" s="4">
        <f t="shared" si="26"/>
        <v>7.9999999999999716</v>
      </c>
      <c r="V28" s="21">
        <f t="shared" si="25"/>
        <v>35.000000000000036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-109.71428571428805</v>
      </c>
      <c r="AF28" s="20">
        <f t="shared" si="9"/>
        <v>0.95428571428571329</v>
      </c>
      <c r="AG28" s="170"/>
    </row>
    <row r="29" spans="1:33" ht="15.75" customHeight="1">
      <c r="A29" s="191" t="s">
        <v>1874</v>
      </c>
      <c r="B29" s="35" t="s">
        <v>1875</v>
      </c>
      <c r="C29" s="171"/>
      <c r="D29" s="171"/>
      <c r="E29" s="36"/>
      <c r="F29" s="4"/>
      <c r="G29" s="4"/>
      <c r="H29" s="4"/>
      <c r="I29" s="29">
        <v>18.399999999999999</v>
      </c>
      <c r="J29" s="17">
        <v>2400</v>
      </c>
      <c r="K29" s="16">
        <f t="shared" si="1"/>
        <v>130.43478260869566</v>
      </c>
      <c r="L29" s="29">
        <v>18.399999999999999</v>
      </c>
      <c r="M29" s="17">
        <f>AVERAGE(M24:M28)</f>
        <v>2293.7404974729116</v>
      </c>
      <c r="N29" s="16">
        <f t="shared" si="3"/>
        <v>124.65980964526695</v>
      </c>
      <c r="O29" s="18">
        <f t="shared" si="4"/>
        <v>0</v>
      </c>
      <c r="P29" s="19">
        <f t="shared" si="5"/>
        <v>-5.7749729634287092</v>
      </c>
      <c r="Q29" s="20">
        <f t="shared" si="6"/>
        <v>0.95572520728037991</v>
      </c>
      <c r="R29" s="170"/>
      <c r="S29" s="27"/>
      <c r="T29" s="27"/>
      <c r="U29" s="4"/>
      <c r="V29" s="21"/>
      <c r="W29" s="4"/>
      <c r="X29" s="4"/>
      <c r="Y29" s="30">
        <f>SUM(Y24:Y28)</f>
        <v>0</v>
      </c>
      <c r="Z29" s="30">
        <f>SUM(Z24:Z28)</f>
        <v>0</v>
      </c>
      <c r="AA29" s="166"/>
      <c r="AB29" s="166"/>
      <c r="AC29" s="30">
        <v>5</v>
      </c>
      <c r="AD29" s="30">
        <f>SUM(AD24:AD28)</f>
        <v>0</v>
      </c>
      <c r="AE29" s="18">
        <f t="shared" si="8"/>
        <v>-106.25950252708844</v>
      </c>
      <c r="AF29" s="20">
        <f t="shared" si="9"/>
        <v>0.9557252072803798</v>
      </c>
      <c r="AG29" s="170"/>
    </row>
    <row r="30" spans="1:33" ht="15.75" customHeight="1">
      <c r="A30" s="188" t="s">
        <v>1876</v>
      </c>
      <c r="B30" s="35" t="s">
        <v>97</v>
      </c>
      <c r="C30" s="163" t="s">
        <v>103</v>
      </c>
      <c r="D30" s="163"/>
      <c r="E30" s="35">
        <v>26.2</v>
      </c>
      <c r="F30" s="4">
        <v>5556</v>
      </c>
      <c r="G30" s="4">
        <f t="shared" ref="G30:G34" si="27">E30*F30</f>
        <v>145567.19999999998</v>
      </c>
      <c r="H30" s="21" t="s">
        <v>133</v>
      </c>
      <c r="I30" s="15">
        <v>18</v>
      </c>
      <c r="J30" s="17">
        <v>2400</v>
      </c>
      <c r="K30" s="16">
        <f t="shared" si="1"/>
        <v>133.33333333333334</v>
      </c>
      <c r="L30" s="15">
        <v>18</v>
      </c>
      <c r="M30" s="17">
        <f t="shared" ref="M30:M34" si="28">F30/V30*60</f>
        <v>2283.2876712328766</v>
      </c>
      <c r="N30" s="16">
        <f t="shared" si="3"/>
        <v>126.84931506849314</v>
      </c>
      <c r="O30" s="18">
        <f t="shared" si="4"/>
        <v>0</v>
      </c>
      <c r="P30" s="19">
        <f t="shared" si="5"/>
        <v>-6.4840182648402021</v>
      </c>
      <c r="Q30" s="20">
        <f t="shared" si="6"/>
        <v>0.95136986301369852</v>
      </c>
      <c r="R30" s="170">
        <f>Q35</f>
        <v>0.95608522745828206</v>
      </c>
      <c r="S30" s="27">
        <v>8.3333333333333329E-2</v>
      </c>
      <c r="T30" s="27">
        <v>0.1847222222222222</v>
      </c>
      <c r="U30" s="4"/>
      <c r="V30" s="21">
        <f t="shared" ref="V30:V34" si="29">(T30-S30)*24*60</f>
        <v>146</v>
      </c>
      <c r="W30" s="27">
        <f>T30</f>
        <v>0.1847222222222222</v>
      </c>
      <c r="X30" s="27">
        <f>S31</f>
        <v>0.20208333333333328</v>
      </c>
      <c r="Y30" s="27"/>
      <c r="Z30" s="27"/>
      <c r="AA30" s="162"/>
      <c r="AB30" s="162"/>
      <c r="AC30" s="24">
        <v>5</v>
      </c>
      <c r="AD30" s="24"/>
      <c r="AE30" s="18">
        <f t="shared" si="8"/>
        <v>-116.71232876712338</v>
      </c>
      <c r="AF30" s="20">
        <f t="shared" si="9"/>
        <v>0.95136986301369864</v>
      </c>
      <c r="AG30" s="170">
        <f>AF35</f>
        <v>0.95608522745828206</v>
      </c>
    </row>
    <row r="31" spans="1:33" ht="15.75" customHeight="1">
      <c r="A31" s="188" t="s">
        <v>1876</v>
      </c>
      <c r="B31" s="35" t="s">
        <v>97</v>
      </c>
      <c r="C31" s="163" t="s">
        <v>104</v>
      </c>
      <c r="D31" s="163"/>
      <c r="E31" s="35">
        <v>20.52</v>
      </c>
      <c r="F31" s="4">
        <v>2940</v>
      </c>
      <c r="G31" s="4">
        <f t="shared" si="27"/>
        <v>60328.799999999996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8"/>
        <v>2290.9090909090896</v>
      </c>
      <c r="N31" s="16">
        <f t="shared" si="3"/>
        <v>127.2727272727272</v>
      </c>
      <c r="O31" s="18">
        <f t="shared" si="4"/>
        <v>0</v>
      </c>
      <c r="P31" s="19">
        <f t="shared" si="5"/>
        <v>-6.0606060606061476</v>
      </c>
      <c r="Q31" s="20">
        <f t="shared" si="6"/>
        <v>0.95454545454545392</v>
      </c>
      <c r="R31" s="170"/>
      <c r="S31" s="27">
        <v>0.20208333333333328</v>
      </c>
      <c r="T31" s="27">
        <v>0.25555555555555554</v>
      </c>
      <c r="U31" s="4">
        <f t="shared" ref="U31:U34" si="30">(S31-T30)*24*60</f>
        <v>24.99999999999995</v>
      </c>
      <c r="V31" s="21">
        <f t="shared" si="29"/>
        <v>77.000000000000043</v>
      </c>
      <c r="W31" s="4"/>
      <c r="X31" s="4"/>
      <c r="Y31" s="4"/>
      <c r="Z31" s="4"/>
      <c r="AA31" s="162"/>
      <c r="AB31" s="162"/>
      <c r="AC31" s="24"/>
      <c r="AD31" s="24"/>
      <c r="AE31" s="18">
        <f t="shared" si="8"/>
        <v>-109.09090909091037</v>
      </c>
      <c r="AF31" s="20">
        <f t="shared" si="9"/>
        <v>0.95454545454545403</v>
      </c>
      <c r="AG31" s="170"/>
    </row>
    <row r="32" spans="1:33">
      <c r="A32" s="189" t="s">
        <v>1877</v>
      </c>
      <c r="B32" s="35" t="s">
        <v>97</v>
      </c>
      <c r="C32" s="163" t="s">
        <v>105</v>
      </c>
      <c r="D32" s="163"/>
      <c r="E32" s="35">
        <v>26.39</v>
      </c>
      <c r="F32" s="4">
        <v>4708</v>
      </c>
      <c r="G32" s="4">
        <f t="shared" si="27"/>
        <v>124244.12000000001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8"/>
        <v>2296.5853658536594</v>
      </c>
      <c r="N32" s="16">
        <f t="shared" si="3"/>
        <v>120.87291399229787</v>
      </c>
      <c r="O32" s="18">
        <f t="shared" si="4"/>
        <v>0</v>
      </c>
      <c r="P32" s="19">
        <f t="shared" si="5"/>
        <v>-5.4428754813863378</v>
      </c>
      <c r="Q32" s="20">
        <f t="shared" si="6"/>
        <v>0.9569105691056915</v>
      </c>
      <c r="R32" s="170"/>
      <c r="S32" s="27">
        <v>0.25972222222222219</v>
      </c>
      <c r="T32" s="27">
        <v>0.34513888888888883</v>
      </c>
      <c r="U32" s="4">
        <f t="shared" si="30"/>
        <v>5.9999999999999787</v>
      </c>
      <c r="V32" s="21">
        <f t="shared" si="29"/>
        <v>122.99999999999996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-103.41463414634063</v>
      </c>
      <c r="AF32" s="20">
        <f t="shared" si="9"/>
        <v>0.95691056910569139</v>
      </c>
      <c r="AG32" s="170"/>
    </row>
    <row r="33" spans="1:33">
      <c r="A33" s="189" t="s">
        <v>1876</v>
      </c>
      <c r="B33" s="35" t="s">
        <v>97</v>
      </c>
      <c r="C33" s="163" t="s">
        <v>107</v>
      </c>
      <c r="D33" s="163"/>
      <c r="E33" s="35">
        <v>20.52</v>
      </c>
      <c r="F33" s="4">
        <v>2306</v>
      </c>
      <c r="G33" s="4">
        <f t="shared" si="27"/>
        <v>47319.12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si="28"/>
        <v>2305.9999999999991</v>
      </c>
      <c r="N33" s="16">
        <f t="shared" si="3"/>
        <v>128.11111111111106</v>
      </c>
      <c r="O33" s="18">
        <f t="shared" si="4"/>
        <v>0</v>
      </c>
      <c r="P33" s="19">
        <f t="shared" si="5"/>
        <v>-5.2222222222222854</v>
      </c>
      <c r="Q33" s="20">
        <f t="shared" si="6"/>
        <v>0.96083333333333287</v>
      </c>
      <c r="R33" s="170"/>
      <c r="S33" s="27">
        <v>0.34999999999999992</v>
      </c>
      <c r="T33" s="27">
        <v>0.39166666666666661</v>
      </c>
      <c r="U33" s="4">
        <f t="shared" si="30"/>
        <v>6.9999999999999751</v>
      </c>
      <c r="V33" s="21">
        <f t="shared" si="29"/>
        <v>60.000000000000028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-94.000000000000909</v>
      </c>
      <c r="AF33" s="20">
        <f t="shared" si="9"/>
        <v>0.96083333333333298</v>
      </c>
      <c r="AG33" s="170"/>
    </row>
    <row r="34" spans="1:33">
      <c r="A34" s="189" t="s">
        <v>1876</v>
      </c>
      <c r="B34" s="35" t="s">
        <v>97</v>
      </c>
      <c r="C34" s="163" t="s">
        <v>304</v>
      </c>
      <c r="D34" s="163"/>
      <c r="E34" s="35">
        <v>22.69</v>
      </c>
      <c r="F34" s="4">
        <v>5090</v>
      </c>
      <c r="G34" s="4">
        <f t="shared" si="27"/>
        <v>115492.1</v>
      </c>
      <c r="H34" s="21" t="s">
        <v>133</v>
      </c>
      <c r="I34" s="15">
        <v>15</v>
      </c>
      <c r="J34" s="17">
        <v>2400</v>
      </c>
      <c r="K34" s="16">
        <f t="shared" si="1"/>
        <v>160</v>
      </c>
      <c r="L34" s="15">
        <v>15</v>
      </c>
      <c r="M34" s="17">
        <f t="shared" si="28"/>
        <v>2296.2406015037591</v>
      </c>
      <c r="N34" s="16">
        <f t="shared" si="3"/>
        <v>153.08270676691728</v>
      </c>
      <c r="O34" s="18">
        <f t="shared" si="4"/>
        <v>0</v>
      </c>
      <c r="P34" s="19">
        <f t="shared" si="5"/>
        <v>-6.9172932330827166</v>
      </c>
      <c r="Q34" s="20">
        <f t="shared" si="6"/>
        <v>0.95676691729323304</v>
      </c>
      <c r="R34" s="170"/>
      <c r="S34" s="27">
        <v>0.3965277777777777</v>
      </c>
      <c r="T34" s="27">
        <v>0.48888888888888882</v>
      </c>
      <c r="U34" s="4">
        <f t="shared" si="30"/>
        <v>6.9999999999999751</v>
      </c>
      <c r="V34" s="21">
        <f t="shared" si="29"/>
        <v>133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-103.75939849624092</v>
      </c>
      <c r="AF34" s="20">
        <f t="shared" si="9"/>
        <v>0.95676691729323293</v>
      </c>
      <c r="AG34" s="170"/>
    </row>
    <row r="35" spans="1:33">
      <c r="A35" s="189" t="s">
        <v>1878</v>
      </c>
      <c r="B35" s="16" t="s">
        <v>1875</v>
      </c>
      <c r="C35" s="171"/>
      <c r="D35" s="171"/>
      <c r="E35" s="36"/>
      <c r="F35" s="16"/>
      <c r="G35" s="16"/>
      <c r="H35" s="4"/>
      <c r="I35" s="29">
        <v>17.600000000000001</v>
      </c>
      <c r="J35" s="17">
        <v>2400</v>
      </c>
      <c r="K35" s="16">
        <f t="shared" si="1"/>
        <v>136.36363636363635</v>
      </c>
      <c r="L35" s="29">
        <v>17.600000000000001</v>
      </c>
      <c r="M35" s="17">
        <f>AVERAGE(M30:M34)</f>
        <v>2294.6045458998769</v>
      </c>
      <c r="N35" s="16">
        <f t="shared" si="3"/>
        <v>130.37525828976572</v>
      </c>
      <c r="O35" s="18">
        <f t="shared" si="4"/>
        <v>0</v>
      </c>
      <c r="P35" s="19">
        <f t="shared" si="5"/>
        <v>-5.9883780738706207</v>
      </c>
      <c r="Q35" s="20">
        <f t="shared" si="6"/>
        <v>0.95608522745828206</v>
      </c>
      <c r="R35" s="170"/>
      <c r="S35" s="27"/>
      <c r="T35" s="27"/>
      <c r="U35" s="16"/>
      <c r="V35" s="21"/>
      <c r="W35" s="16"/>
      <c r="X35" s="16"/>
      <c r="Y35" s="30">
        <f>SUM(Y30:Y34)</f>
        <v>0</v>
      </c>
      <c r="Z35" s="30">
        <f>SUM(Z30:Z34)</f>
        <v>0</v>
      </c>
      <c r="AA35" s="166"/>
      <c r="AB35" s="166"/>
      <c r="AC35" s="30">
        <v>5</v>
      </c>
      <c r="AD35" s="30">
        <f>SUM(AD30:AD34)</f>
        <v>0</v>
      </c>
      <c r="AE35" s="18">
        <f t="shared" si="8"/>
        <v>-105.39545410012306</v>
      </c>
      <c r="AF35" s="20">
        <f t="shared" si="9"/>
        <v>0.95608522745828206</v>
      </c>
      <c r="AG35" s="170"/>
    </row>
    <row r="36" spans="1:33" ht="15.75" customHeight="1">
      <c r="A36" s="182" t="s">
        <v>1879</v>
      </c>
      <c r="B36" s="35" t="s">
        <v>108</v>
      </c>
      <c r="C36" s="174" t="s">
        <v>1514</v>
      </c>
      <c r="D36" s="175"/>
      <c r="E36" s="35">
        <v>34.35</v>
      </c>
      <c r="F36" s="4">
        <v>4194</v>
      </c>
      <c r="G36" s="4">
        <f t="shared" ref="G36:G42" si="31">E36*F36</f>
        <v>144063.9</v>
      </c>
      <c r="H36" s="21" t="s">
        <v>133</v>
      </c>
      <c r="I36" s="15">
        <v>8</v>
      </c>
      <c r="J36" s="17">
        <v>3000</v>
      </c>
      <c r="K36" s="16">
        <f t="shared" si="1"/>
        <v>375</v>
      </c>
      <c r="L36" s="15">
        <v>8</v>
      </c>
      <c r="M36" s="17">
        <f t="shared" ref="M36:M42" si="32">F36/V36*60</f>
        <v>2859.545454545455</v>
      </c>
      <c r="N36" s="17">
        <f t="shared" si="3"/>
        <v>357.44318181818187</v>
      </c>
      <c r="O36" s="18">
        <f t="shared" si="4"/>
        <v>0</v>
      </c>
      <c r="P36" s="19">
        <f t="shared" si="5"/>
        <v>-17.55681818181813</v>
      </c>
      <c r="Q36" s="20">
        <f t="shared" si="6"/>
        <v>0.95318181818181835</v>
      </c>
      <c r="R36" s="185">
        <f>Q43</f>
        <v>0.95659564477044801</v>
      </c>
      <c r="S36" s="27">
        <v>8.3333333333333329E-2</v>
      </c>
      <c r="T36" s="27">
        <v>0.14444444444444443</v>
      </c>
      <c r="U36" s="27"/>
      <c r="V36" s="21">
        <f t="shared" ref="V36:V42" si="33">(T36-S36)*24*60</f>
        <v>87.999999999999986</v>
      </c>
      <c r="W36" s="22"/>
      <c r="X36" s="22"/>
      <c r="Y36" s="25"/>
      <c r="Z36" s="25"/>
      <c r="AA36" s="176"/>
      <c r="AB36" s="177"/>
      <c r="AC36" s="24">
        <v>7</v>
      </c>
      <c r="AD36" s="24"/>
      <c r="AE36" s="18">
        <f t="shared" si="8"/>
        <v>-140.45454545454504</v>
      </c>
      <c r="AF36" s="20">
        <f t="shared" si="9"/>
        <v>0.95318181818181835</v>
      </c>
      <c r="AG36" s="185">
        <f>AF43</f>
        <v>0.95659564477044801</v>
      </c>
    </row>
    <row r="37" spans="1:33" ht="15.75" customHeight="1">
      <c r="A37" s="183" t="s">
        <v>1879</v>
      </c>
      <c r="B37" s="35" t="s">
        <v>108</v>
      </c>
      <c r="C37" s="174" t="s">
        <v>109</v>
      </c>
      <c r="D37" s="175"/>
      <c r="E37" s="35">
        <v>34.36</v>
      </c>
      <c r="F37" s="4">
        <v>1761</v>
      </c>
      <c r="G37" s="4">
        <f t="shared" si="31"/>
        <v>60507.96</v>
      </c>
      <c r="H37" s="21" t="s">
        <v>133</v>
      </c>
      <c r="I37" s="15">
        <v>10</v>
      </c>
      <c r="J37" s="17">
        <v>3000</v>
      </c>
      <c r="K37" s="16">
        <f t="shared" si="1"/>
        <v>300</v>
      </c>
      <c r="L37" s="15">
        <v>10</v>
      </c>
      <c r="M37" s="17">
        <f t="shared" si="32"/>
        <v>2855.6756756756768</v>
      </c>
      <c r="N37" s="17">
        <f t="shared" si="3"/>
        <v>285.56756756756766</v>
      </c>
      <c r="O37" s="18">
        <f t="shared" si="4"/>
        <v>0</v>
      </c>
      <c r="P37" s="19">
        <f t="shared" si="5"/>
        <v>-14.432432432432336</v>
      </c>
      <c r="Q37" s="20">
        <f t="shared" si="6"/>
        <v>0.95189189189189216</v>
      </c>
      <c r="R37" s="186"/>
      <c r="S37" s="27">
        <v>0.14861111111111111</v>
      </c>
      <c r="T37" s="27">
        <v>0.17430555555555555</v>
      </c>
      <c r="U37" s="4">
        <f t="shared" ref="U37:U42" si="34">(S37-T36)*24*60</f>
        <v>6.0000000000000187</v>
      </c>
      <c r="V37" s="21">
        <f t="shared" si="33"/>
        <v>36.999999999999986</v>
      </c>
      <c r="W37" s="22">
        <f>T37</f>
        <v>0.17430555555555555</v>
      </c>
      <c r="X37" s="22">
        <f>S38</f>
        <v>0.19583333333333333</v>
      </c>
      <c r="Y37" s="25"/>
      <c r="Z37" s="25"/>
      <c r="AA37" s="176"/>
      <c r="AB37" s="177"/>
      <c r="AC37" s="24"/>
      <c r="AD37" s="24"/>
      <c r="AE37" s="18">
        <f t="shared" si="8"/>
        <v>-144.32432432432324</v>
      </c>
      <c r="AF37" s="20">
        <f t="shared" si="9"/>
        <v>0.95189189189189227</v>
      </c>
      <c r="AG37" s="186"/>
    </row>
    <row r="38" spans="1:33" ht="15.75" customHeight="1">
      <c r="A38" s="183" t="s">
        <v>1879</v>
      </c>
      <c r="B38" s="35" t="s">
        <v>108</v>
      </c>
      <c r="C38" s="174" t="s">
        <v>110</v>
      </c>
      <c r="D38" s="175"/>
      <c r="E38" s="35">
        <v>26.78</v>
      </c>
      <c r="F38" s="4">
        <v>2417</v>
      </c>
      <c r="G38" s="4">
        <f t="shared" si="31"/>
        <v>64727.26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si="32"/>
        <v>2900.3999999999987</v>
      </c>
      <c r="N38" s="17">
        <f t="shared" si="3"/>
        <v>290.03999999999985</v>
      </c>
      <c r="O38" s="18">
        <f t="shared" si="4"/>
        <v>0</v>
      </c>
      <c r="P38" s="19">
        <f t="shared" si="5"/>
        <v>-9.9600000000001501</v>
      </c>
      <c r="Q38" s="20">
        <f t="shared" si="6"/>
        <v>0.96679999999999955</v>
      </c>
      <c r="R38" s="186"/>
      <c r="S38" s="27">
        <v>0.19583333333333333</v>
      </c>
      <c r="T38" s="27">
        <v>0.23055555555555557</v>
      </c>
      <c r="U38" s="4">
        <f t="shared" si="34"/>
        <v>31.000000000000011</v>
      </c>
      <c r="V38" s="21">
        <f t="shared" si="33"/>
        <v>50.000000000000021</v>
      </c>
      <c r="W38" s="22"/>
      <c r="X38" s="22"/>
      <c r="Y38" s="25"/>
      <c r="Z38" s="25"/>
      <c r="AA38" s="176"/>
      <c r="AB38" s="177"/>
      <c r="AC38" s="24"/>
      <c r="AD38" s="24"/>
      <c r="AE38" s="18">
        <f t="shared" si="8"/>
        <v>-99.600000000001273</v>
      </c>
      <c r="AF38" s="20">
        <f t="shared" si="9"/>
        <v>0.96679999999999955</v>
      </c>
      <c r="AG38" s="186"/>
    </row>
    <row r="39" spans="1:33" ht="15.75" customHeight="1">
      <c r="A39" s="183" t="s">
        <v>1880</v>
      </c>
      <c r="B39" s="35" t="s">
        <v>108</v>
      </c>
      <c r="C39" s="174" t="s">
        <v>111</v>
      </c>
      <c r="D39" s="175"/>
      <c r="E39" s="35">
        <v>21.13</v>
      </c>
      <c r="F39" s="4">
        <v>4724</v>
      </c>
      <c r="G39" s="4">
        <f t="shared" si="31"/>
        <v>99818.12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2863.0303030303025</v>
      </c>
      <c r="N39" s="17">
        <f t="shared" si="3"/>
        <v>286.30303030303025</v>
      </c>
      <c r="O39" s="18">
        <f t="shared" si="4"/>
        <v>0</v>
      </c>
      <c r="P39" s="19">
        <f t="shared" si="5"/>
        <v>-13.696969696969745</v>
      </c>
      <c r="Q39" s="20">
        <f t="shared" si="6"/>
        <v>0.95434343434343416</v>
      </c>
      <c r="R39" s="186"/>
      <c r="S39" s="27">
        <v>0.23611111111111113</v>
      </c>
      <c r="T39" s="27">
        <v>0.30486111111111114</v>
      </c>
      <c r="U39" s="4">
        <f t="shared" si="34"/>
        <v>8.0000000000000107</v>
      </c>
      <c r="V39" s="21">
        <f t="shared" si="33"/>
        <v>99.000000000000014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-136.96969696969745</v>
      </c>
      <c r="AF39" s="20">
        <f t="shared" si="9"/>
        <v>0.95434343434343416</v>
      </c>
      <c r="AG39" s="186"/>
    </row>
    <row r="40" spans="1:33" ht="15.75" customHeight="1">
      <c r="A40" s="183" t="s">
        <v>68</v>
      </c>
      <c r="B40" s="35" t="s">
        <v>108</v>
      </c>
      <c r="C40" s="174" t="s">
        <v>112</v>
      </c>
      <c r="D40" s="175"/>
      <c r="E40" s="35">
        <v>27.17</v>
      </c>
      <c r="F40" s="4">
        <v>6039</v>
      </c>
      <c r="G40" s="4">
        <f t="shared" si="31"/>
        <v>164079.63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2853.0708661417316</v>
      </c>
      <c r="N40" s="17">
        <f t="shared" si="3"/>
        <v>285.30708661417316</v>
      </c>
      <c r="O40" s="18">
        <f t="shared" si="4"/>
        <v>0</v>
      </c>
      <c r="P40" s="19">
        <f t="shared" si="5"/>
        <v>-14.692913385826841</v>
      </c>
      <c r="Q40" s="20">
        <f t="shared" si="6"/>
        <v>0.95102362204724389</v>
      </c>
      <c r="R40" s="186"/>
      <c r="S40" s="27">
        <v>0.31041666666666667</v>
      </c>
      <c r="T40" s="27">
        <v>0.39861111111111114</v>
      </c>
      <c r="U40" s="4">
        <f t="shared" si="34"/>
        <v>7.9999999999999716</v>
      </c>
      <c r="V40" s="21">
        <f t="shared" si="33"/>
        <v>127.00000000000003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-146.92913385826841</v>
      </c>
      <c r="AF40" s="20">
        <f t="shared" si="9"/>
        <v>0.95102362204724389</v>
      </c>
      <c r="AG40" s="186"/>
    </row>
    <row r="41" spans="1:33" ht="15.75" customHeight="1">
      <c r="A41" s="183" t="s">
        <v>1879</v>
      </c>
      <c r="B41" s="35" t="s">
        <v>108</v>
      </c>
      <c r="C41" s="174" t="s">
        <v>305</v>
      </c>
      <c r="D41" s="175"/>
      <c r="E41" s="35">
        <v>28.3</v>
      </c>
      <c r="F41" s="4">
        <v>2643</v>
      </c>
      <c r="G41" s="4">
        <f t="shared" si="31"/>
        <v>74796.900000000009</v>
      </c>
      <c r="H41" s="21" t="s">
        <v>133</v>
      </c>
      <c r="I41" s="15">
        <v>8</v>
      </c>
      <c r="J41" s="17">
        <v>3000</v>
      </c>
      <c r="K41" s="16">
        <f t="shared" si="1"/>
        <v>375</v>
      </c>
      <c r="L41" s="15">
        <v>8</v>
      </c>
      <c r="M41" s="17">
        <f t="shared" si="32"/>
        <v>2883.2727272727288</v>
      </c>
      <c r="N41" s="17">
        <f t="shared" si="3"/>
        <v>360.40909090909111</v>
      </c>
      <c r="O41" s="18">
        <f t="shared" si="4"/>
        <v>0</v>
      </c>
      <c r="P41" s="19">
        <f t="shared" si="5"/>
        <v>-14.590909090908895</v>
      </c>
      <c r="Q41" s="20">
        <f t="shared" si="6"/>
        <v>0.96109090909090966</v>
      </c>
      <c r="R41" s="186"/>
      <c r="S41" s="27">
        <v>0.40208333333333335</v>
      </c>
      <c r="T41" s="27">
        <v>0.44027777777777777</v>
      </c>
      <c r="U41" s="4">
        <f t="shared" si="34"/>
        <v>4.9999999999999822</v>
      </c>
      <c r="V41" s="21">
        <f t="shared" si="33"/>
        <v>54.999999999999964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-116.72727272727116</v>
      </c>
      <c r="AF41" s="20">
        <f t="shared" si="9"/>
        <v>0.96109090909090966</v>
      </c>
      <c r="AG41" s="186"/>
    </row>
    <row r="42" spans="1:33" ht="15.75" customHeight="1">
      <c r="A42" s="183" t="s">
        <v>68</v>
      </c>
      <c r="B42" s="35" t="s">
        <v>108</v>
      </c>
      <c r="C42" s="174" t="s">
        <v>113</v>
      </c>
      <c r="D42" s="175"/>
      <c r="E42" s="35">
        <v>35.869999999999997</v>
      </c>
      <c r="F42" s="4">
        <v>3544</v>
      </c>
      <c r="G42" s="4">
        <f t="shared" si="31"/>
        <v>127123.27999999998</v>
      </c>
      <c r="H42" s="21" t="s">
        <v>133</v>
      </c>
      <c r="I42" s="15">
        <v>9</v>
      </c>
      <c r="J42" s="17">
        <v>3000</v>
      </c>
      <c r="K42" s="16">
        <f t="shared" si="1"/>
        <v>333.33333333333331</v>
      </c>
      <c r="L42" s="15">
        <v>9</v>
      </c>
      <c r="M42" s="17">
        <f t="shared" si="32"/>
        <v>2873.5135135135147</v>
      </c>
      <c r="N42" s="17">
        <f t="shared" si="3"/>
        <v>319.27927927927942</v>
      </c>
      <c r="O42" s="18">
        <f t="shared" si="4"/>
        <v>0</v>
      </c>
      <c r="P42" s="19">
        <f t="shared" si="5"/>
        <v>-14.054054054053893</v>
      </c>
      <c r="Q42" s="20">
        <f t="shared" si="6"/>
        <v>0.95783783783783827</v>
      </c>
      <c r="R42" s="186"/>
      <c r="S42" s="27">
        <v>0.4458333333333333</v>
      </c>
      <c r="T42" s="27">
        <v>0.49722222222222218</v>
      </c>
      <c r="U42" s="4">
        <f t="shared" si="34"/>
        <v>7.9999999999999716</v>
      </c>
      <c r="V42" s="21">
        <f t="shared" si="33"/>
        <v>73.999999999999972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-126.48648648648532</v>
      </c>
      <c r="AF42" s="20">
        <f t="shared" si="9"/>
        <v>0.95783783783783827</v>
      </c>
      <c r="AG42" s="186"/>
    </row>
    <row r="43" spans="1:33" ht="15.75" customHeight="1">
      <c r="A43" s="184" t="s">
        <v>1879</v>
      </c>
      <c r="B43" s="35" t="s">
        <v>1875</v>
      </c>
      <c r="C43" s="164"/>
      <c r="D43" s="165"/>
      <c r="E43" s="37"/>
      <c r="F43" s="4"/>
      <c r="G43" s="4"/>
      <c r="H43" s="4"/>
      <c r="I43" s="29">
        <v>9.2857142857142865</v>
      </c>
      <c r="J43" s="17">
        <v>3000</v>
      </c>
      <c r="K43" s="16">
        <f t="shared" si="1"/>
        <v>323.07692307692304</v>
      </c>
      <c r="L43" s="29">
        <v>9.2857142857142865</v>
      </c>
      <c r="M43" s="17">
        <f>AVERAGE(M36:M42)</f>
        <v>2869.7869343113439</v>
      </c>
      <c r="N43" s="16">
        <f t="shared" si="3"/>
        <v>309.05397754122163</v>
      </c>
      <c r="O43" s="18">
        <f t="shared" si="4"/>
        <v>0</v>
      </c>
      <c r="P43" s="19">
        <f t="shared" si="5"/>
        <v>-14.02294553570141</v>
      </c>
      <c r="Q43" s="20">
        <f t="shared" si="6"/>
        <v>0.95659564477044801</v>
      </c>
      <c r="R43" s="187"/>
      <c r="S43" s="27"/>
      <c r="T43" s="27"/>
      <c r="U43" s="4"/>
      <c r="V43" s="21"/>
      <c r="W43" s="22"/>
      <c r="X43" s="22"/>
      <c r="Y43" s="30">
        <f>SUM(Y36:Y42)</f>
        <v>0</v>
      </c>
      <c r="Z43" s="30">
        <f>SUM(Z36:Z42)</f>
        <v>0</v>
      </c>
      <c r="AA43" s="180"/>
      <c r="AB43" s="181"/>
      <c r="AC43" s="30">
        <v>7</v>
      </c>
      <c r="AD43" s="30">
        <f>SUM(AD36:AD42)</f>
        <v>0</v>
      </c>
      <c r="AE43" s="18">
        <f t="shared" si="8"/>
        <v>-130.21306568865612</v>
      </c>
      <c r="AF43" s="20">
        <f t="shared" si="9"/>
        <v>0.95659564477044801</v>
      </c>
      <c r="AG43" s="187"/>
    </row>
    <row r="44" spans="1:33" ht="15.75" customHeight="1">
      <c r="A44" s="178" t="s">
        <v>1881</v>
      </c>
      <c r="B44" s="35" t="s">
        <v>84</v>
      </c>
      <c r="C44" s="163" t="s">
        <v>114</v>
      </c>
      <c r="D44" s="163"/>
      <c r="E44" s="35">
        <v>46</v>
      </c>
      <c r="F44" s="38">
        <v>2022</v>
      </c>
      <c r="G44" s="4">
        <f t="shared" ref="G44:G50" si="35">E44*F44</f>
        <v>93012</v>
      </c>
      <c r="H44" s="21" t="s">
        <v>133</v>
      </c>
      <c r="I44" s="15">
        <v>17</v>
      </c>
      <c r="J44" s="17">
        <v>2000</v>
      </c>
      <c r="K44" s="16">
        <f t="shared" si="1"/>
        <v>117.64705882352941</v>
      </c>
      <c r="L44" s="15">
        <v>17</v>
      </c>
      <c r="M44" s="17">
        <f t="shared" ref="M44" si="36">F44/V44*60</f>
        <v>1925.7142857142865</v>
      </c>
      <c r="N44" s="17">
        <f t="shared" si="3"/>
        <v>113.27731092436979</v>
      </c>
      <c r="O44" s="18">
        <f t="shared" si="4"/>
        <v>0</v>
      </c>
      <c r="P44" s="19">
        <f t="shared" si="5"/>
        <v>-4.3697478991596199</v>
      </c>
      <c r="Q44" s="20">
        <f t="shared" si="6"/>
        <v>0.96285714285714319</v>
      </c>
      <c r="R44" s="170">
        <f>Q51</f>
        <v>0.95288836440142022</v>
      </c>
      <c r="S44" s="27">
        <v>0.20833333333333334</v>
      </c>
      <c r="T44" s="27">
        <v>0.25208333333333333</v>
      </c>
      <c r="U44" s="27"/>
      <c r="V44" s="21">
        <f t="shared" ref="V44:V50" si="37">(T44-S44)*24*60</f>
        <v>62.999999999999979</v>
      </c>
      <c r="W44" s="27"/>
      <c r="X44" s="27"/>
      <c r="Y44" s="27"/>
      <c r="Z44" s="27"/>
      <c r="AA44" s="162"/>
      <c r="AB44" s="162"/>
      <c r="AC44" s="24">
        <v>7</v>
      </c>
      <c r="AD44" s="24"/>
      <c r="AE44" s="18">
        <f t="shared" si="8"/>
        <v>-74.285714285713539</v>
      </c>
      <c r="AF44" s="20">
        <f t="shared" si="9"/>
        <v>0.96285714285714319</v>
      </c>
      <c r="AG44" s="170">
        <f>AF51</f>
        <v>0.95288836440142022</v>
      </c>
    </row>
    <row r="45" spans="1:33" ht="15.75" customHeight="1">
      <c r="A45" s="178" t="s">
        <v>1882</v>
      </c>
      <c r="B45" s="35" t="s">
        <v>78</v>
      </c>
      <c r="C45" s="163" t="s">
        <v>115</v>
      </c>
      <c r="D45" s="163"/>
      <c r="E45" s="35">
        <v>56.43</v>
      </c>
      <c r="F45" s="38">
        <v>1561</v>
      </c>
      <c r="G45" s="4">
        <f t="shared" si="35"/>
        <v>88087.23</v>
      </c>
      <c r="H45" s="21" t="s">
        <v>133</v>
      </c>
      <c r="I45" s="15">
        <v>22</v>
      </c>
      <c r="J45" s="17">
        <v>2000</v>
      </c>
      <c r="K45" s="16">
        <f t="shared" si="1"/>
        <v>90.909090909090907</v>
      </c>
      <c r="L45" s="15">
        <v>22</v>
      </c>
      <c r="M45" s="17">
        <f>F45/V45*60</f>
        <v>1873.2000000000005</v>
      </c>
      <c r="N45" s="17">
        <f t="shared" si="3"/>
        <v>85.145454545454569</v>
      </c>
      <c r="O45" s="18">
        <f t="shared" si="4"/>
        <v>0</v>
      </c>
      <c r="P45" s="19">
        <f t="shared" si="5"/>
        <v>-5.763636363636337</v>
      </c>
      <c r="Q45" s="20">
        <f t="shared" si="6"/>
        <v>0.93660000000000032</v>
      </c>
      <c r="R45" s="170"/>
      <c r="S45" s="27">
        <v>0.25763888888888886</v>
      </c>
      <c r="T45" s="27">
        <v>0.29236111111111107</v>
      </c>
      <c r="U45" s="4">
        <f t="shared" ref="U45:U50" si="38">IF(S45=TIME(17,0,0),"",(S45-T44)*24*60)</f>
        <v>7.9999999999999716</v>
      </c>
      <c r="V45" s="21">
        <f t="shared" si="37"/>
        <v>49.999999999999986</v>
      </c>
      <c r="W45" s="22"/>
      <c r="X45" s="22"/>
      <c r="Y45" s="22"/>
      <c r="Z45" s="22"/>
      <c r="AA45" s="162"/>
      <c r="AB45" s="162"/>
      <c r="AC45" s="24"/>
      <c r="AD45" s="24"/>
      <c r="AE45" s="18">
        <f t="shared" si="8"/>
        <v>-126.7999999999995</v>
      </c>
      <c r="AF45" s="20">
        <f t="shared" si="9"/>
        <v>0.93660000000000021</v>
      </c>
      <c r="AG45" s="170"/>
    </row>
    <row r="46" spans="1:33" ht="15.75" customHeight="1">
      <c r="A46" s="178" t="s">
        <v>1883</v>
      </c>
      <c r="B46" s="35" t="s">
        <v>78</v>
      </c>
      <c r="C46" s="174" t="s">
        <v>116</v>
      </c>
      <c r="D46" s="175"/>
      <c r="E46" s="35">
        <v>51.75</v>
      </c>
      <c r="F46" s="38">
        <v>1205</v>
      </c>
      <c r="G46" s="4">
        <f t="shared" si="35"/>
        <v>62358.75</v>
      </c>
      <c r="H46" s="21" t="s">
        <v>133</v>
      </c>
      <c r="I46" s="15">
        <v>25</v>
      </c>
      <c r="J46" s="17">
        <v>2000</v>
      </c>
      <c r="K46" s="16">
        <f t="shared" si="1"/>
        <v>80</v>
      </c>
      <c r="L46" s="15">
        <v>25</v>
      </c>
      <c r="M46" s="17">
        <f t="shared" ref="M46:M50" si="39">F46/V46*60</f>
        <v>1807.4999999999993</v>
      </c>
      <c r="N46" s="17">
        <f t="shared" si="3"/>
        <v>72.299999999999969</v>
      </c>
      <c r="O46" s="18">
        <f t="shared" si="4"/>
        <v>0</v>
      </c>
      <c r="P46" s="19">
        <f t="shared" si="5"/>
        <v>-7.7000000000000313</v>
      </c>
      <c r="Q46" s="20">
        <f t="shared" si="6"/>
        <v>0.90374999999999961</v>
      </c>
      <c r="R46" s="170"/>
      <c r="S46" s="27">
        <v>0.29722222222222217</v>
      </c>
      <c r="T46" s="27">
        <v>0.32499999999999996</v>
      </c>
      <c r="U46" s="4">
        <f t="shared" si="38"/>
        <v>6.9999999999999751</v>
      </c>
      <c r="V46" s="21">
        <f t="shared" si="37"/>
        <v>40.000000000000014</v>
      </c>
      <c r="W46" s="22"/>
      <c r="X46" s="22"/>
      <c r="Y46" s="25"/>
      <c r="Z46" s="25"/>
      <c r="AA46" s="162"/>
      <c r="AB46" s="162"/>
      <c r="AC46" s="24"/>
      <c r="AD46" s="24"/>
      <c r="AE46" s="18">
        <f t="shared" si="8"/>
        <v>-192.50000000000068</v>
      </c>
      <c r="AF46" s="20">
        <f t="shared" si="9"/>
        <v>0.90374999999999961</v>
      </c>
      <c r="AG46" s="170"/>
    </row>
    <row r="47" spans="1:33" ht="15.75" customHeight="1">
      <c r="A47" s="178" t="s">
        <v>1883</v>
      </c>
      <c r="B47" s="35" t="s">
        <v>78</v>
      </c>
      <c r="C47" s="39" t="s">
        <v>118</v>
      </c>
      <c r="D47" s="40"/>
      <c r="E47" s="35">
        <v>57.73</v>
      </c>
      <c r="F47" s="38">
        <v>937</v>
      </c>
      <c r="G47" s="4">
        <f t="shared" si="35"/>
        <v>54093.009999999995</v>
      </c>
      <c r="H47" s="21" t="s">
        <v>133</v>
      </c>
      <c r="I47" s="15">
        <v>16</v>
      </c>
      <c r="J47" s="17">
        <v>1500</v>
      </c>
      <c r="K47" s="16">
        <f t="shared" si="1"/>
        <v>93.75</v>
      </c>
      <c r="L47" s="15">
        <v>16</v>
      </c>
      <c r="M47" s="17">
        <f t="shared" si="39"/>
        <v>1441.5384615384608</v>
      </c>
      <c r="N47" s="17">
        <f t="shared" si="3"/>
        <v>90.096153846153797</v>
      </c>
      <c r="O47" s="18">
        <f t="shared" si="4"/>
        <v>0</v>
      </c>
      <c r="P47" s="19">
        <f t="shared" si="5"/>
        <v>-3.653846153846203</v>
      </c>
      <c r="Q47" s="20">
        <f t="shared" si="6"/>
        <v>0.96102564102564048</v>
      </c>
      <c r="R47" s="170"/>
      <c r="S47" s="27">
        <v>0.70833333333333337</v>
      </c>
      <c r="T47" s="27">
        <v>0.73541666666666672</v>
      </c>
      <c r="U47" s="4" t="str">
        <f t="shared" si="38"/>
        <v/>
      </c>
      <c r="V47" s="21">
        <f t="shared" si="37"/>
        <v>39.000000000000021</v>
      </c>
      <c r="W47" s="22"/>
      <c r="X47" s="22"/>
      <c r="Y47" s="25"/>
      <c r="Z47" s="25"/>
      <c r="AA47" s="162"/>
      <c r="AB47" s="162"/>
      <c r="AC47" s="24"/>
      <c r="AD47" s="24"/>
      <c r="AE47" s="18">
        <f t="shared" si="8"/>
        <v>-58.461538461539249</v>
      </c>
      <c r="AF47" s="20">
        <f t="shared" si="9"/>
        <v>0.96102564102564048</v>
      </c>
      <c r="AG47" s="170"/>
    </row>
    <row r="48" spans="1:33" ht="15.75" customHeight="1">
      <c r="A48" s="178" t="s">
        <v>1884</v>
      </c>
      <c r="B48" s="35" t="s">
        <v>78</v>
      </c>
      <c r="C48" s="39" t="s">
        <v>119</v>
      </c>
      <c r="D48" s="40"/>
      <c r="E48" s="35">
        <v>54.29</v>
      </c>
      <c r="F48" s="38">
        <v>1104</v>
      </c>
      <c r="G48" s="4">
        <f t="shared" si="35"/>
        <v>59936.159999999996</v>
      </c>
      <c r="H48" s="21" t="s">
        <v>133</v>
      </c>
      <c r="I48" s="15">
        <v>20</v>
      </c>
      <c r="J48" s="17">
        <v>2000</v>
      </c>
      <c r="K48" s="16">
        <f t="shared" si="1"/>
        <v>100</v>
      </c>
      <c r="L48" s="15">
        <v>20</v>
      </c>
      <c r="M48" s="17">
        <f t="shared" si="39"/>
        <v>1948.2352941176448</v>
      </c>
      <c r="N48" s="17">
        <f t="shared" si="3"/>
        <v>97.411764705882234</v>
      </c>
      <c r="O48" s="18">
        <f t="shared" si="4"/>
        <v>0</v>
      </c>
      <c r="P48" s="19">
        <f t="shared" si="5"/>
        <v>-2.5882352941177658</v>
      </c>
      <c r="Q48" s="20">
        <f t="shared" si="6"/>
        <v>0.97411764705882231</v>
      </c>
      <c r="R48" s="170"/>
      <c r="S48" s="27">
        <v>0.73958333333333337</v>
      </c>
      <c r="T48" s="27">
        <v>0.76319444444444451</v>
      </c>
      <c r="U48" s="4">
        <f t="shared" si="38"/>
        <v>5.9999999999999787</v>
      </c>
      <c r="V48" s="21">
        <f t="shared" si="37"/>
        <v>34.000000000000043</v>
      </c>
      <c r="W48" s="22"/>
      <c r="X48" s="22"/>
      <c r="Y48" s="25"/>
      <c r="Z48" s="25"/>
      <c r="AA48" s="162"/>
      <c r="AB48" s="162"/>
      <c r="AC48" s="24"/>
      <c r="AD48" s="24"/>
      <c r="AE48" s="18">
        <f t="shared" si="8"/>
        <v>-51.764705882355202</v>
      </c>
      <c r="AF48" s="20">
        <f t="shared" si="9"/>
        <v>0.97411764705882242</v>
      </c>
      <c r="AG48" s="170"/>
    </row>
    <row r="49" spans="1:33" ht="15.75" customHeight="1">
      <c r="A49" s="178" t="s">
        <v>1883</v>
      </c>
      <c r="B49" s="35" t="s">
        <v>78</v>
      </c>
      <c r="C49" s="174" t="s">
        <v>120</v>
      </c>
      <c r="D49" s="175"/>
      <c r="E49" s="35">
        <v>55.56</v>
      </c>
      <c r="F49" s="38">
        <v>1888</v>
      </c>
      <c r="G49" s="4">
        <f t="shared" si="35"/>
        <v>104897.28</v>
      </c>
      <c r="H49" s="21" t="s">
        <v>133</v>
      </c>
      <c r="I49" s="15">
        <v>17</v>
      </c>
      <c r="J49" s="17">
        <v>2000</v>
      </c>
      <c r="K49" s="16">
        <f t="shared" si="1"/>
        <v>117.64705882352941</v>
      </c>
      <c r="L49" s="15">
        <v>17</v>
      </c>
      <c r="M49" s="17">
        <f t="shared" si="39"/>
        <v>1920.0000000000018</v>
      </c>
      <c r="N49" s="17">
        <f t="shared" si="3"/>
        <v>112.94117647058835</v>
      </c>
      <c r="O49" s="18">
        <f t="shared" si="4"/>
        <v>0</v>
      </c>
      <c r="P49" s="19">
        <f t="shared" si="5"/>
        <v>-4.7058823529410603</v>
      </c>
      <c r="Q49" s="20">
        <f t="shared" si="6"/>
        <v>0.96000000000000096</v>
      </c>
      <c r="R49" s="170"/>
      <c r="S49" s="27">
        <v>0.76736111111111116</v>
      </c>
      <c r="T49" s="27">
        <v>0.80833333333333335</v>
      </c>
      <c r="U49" s="4">
        <f t="shared" si="38"/>
        <v>5.9999999999999787</v>
      </c>
      <c r="V49" s="21">
        <f t="shared" si="37"/>
        <v>58.99999999999995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-79.999999999998181</v>
      </c>
      <c r="AF49" s="20">
        <f t="shared" si="9"/>
        <v>0.96000000000000096</v>
      </c>
      <c r="AG49" s="170"/>
    </row>
    <row r="50" spans="1:33" ht="15.75" customHeight="1">
      <c r="A50" s="178" t="s">
        <v>1883</v>
      </c>
      <c r="B50" s="35" t="s">
        <v>78</v>
      </c>
      <c r="C50" s="174" t="s">
        <v>121</v>
      </c>
      <c r="D50" s="175"/>
      <c r="E50" s="35">
        <v>55.32</v>
      </c>
      <c r="F50" s="38">
        <v>1331</v>
      </c>
      <c r="G50" s="4">
        <f t="shared" si="35"/>
        <v>73630.92</v>
      </c>
      <c r="H50" s="21" t="s">
        <v>133</v>
      </c>
      <c r="I50" s="15">
        <v>15</v>
      </c>
      <c r="J50" s="17">
        <v>2000</v>
      </c>
      <c r="K50" s="16">
        <f t="shared" si="1"/>
        <v>133.33333333333334</v>
      </c>
      <c r="L50" s="15">
        <v>15</v>
      </c>
      <c r="M50" s="17">
        <f t="shared" si="39"/>
        <v>1947.80487804878</v>
      </c>
      <c r="N50" s="17">
        <f t="shared" si="3"/>
        <v>129.85365853658533</v>
      </c>
      <c r="O50" s="18">
        <f t="shared" si="4"/>
        <v>0</v>
      </c>
      <c r="P50" s="19">
        <f t="shared" si="5"/>
        <v>-3.4796747967480144</v>
      </c>
      <c r="Q50" s="20">
        <f t="shared" si="6"/>
        <v>0.97390243902438989</v>
      </c>
      <c r="R50" s="170"/>
      <c r="S50" s="27">
        <v>0.81388888888888888</v>
      </c>
      <c r="T50" s="27">
        <v>0.84236111111111112</v>
      </c>
      <c r="U50" s="4">
        <f t="shared" si="38"/>
        <v>7.9999999999999716</v>
      </c>
      <c r="V50" s="21">
        <f t="shared" si="37"/>
        <v>41.000000000000014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-52.195121951220017</v>
      </c>
      <c r="AF50" s="20">
        <f t="shared" si="9"/>
        <v>0.97390243902439</v>
      </c>
      <c r="AG50" s="170"/>
    </row>
    <row r="51" spans="1:33">
      <c r="A51" s="179" t="s">
        <v>1882</v>
      </c>
      <c r="B51" s="35" t="s">
        <v>1875</v>
      </c>
      <c r="C51" s="171"/>
      <c r="D51" s="171"/>
      <c r="E51" s="36"/>
      <c r="F51" s="16"/>
      <c r="G51" s="16"/>
      <c r="H51" s="4"/>
      <c r="I51" s="29">
        <v>18.857142857142858</v>
      </c>
      <c r="J51" s="17">
        <v>1928.5714285714287</v>
      </c>
      <c r="K51" s="16">
        <f t="shared" si="1"/>
        <v>102.27272727272728</v>
      </c>
      <c r="L51" s="29">
        <v>18.857142857142858</v>
      </c>
      <c r="M51" s="17">
        <f>AVERAGE(M44:M50)</f>
        <v>1837.7132742027391</v>
      </c>
      <c r="N51" s="16">
        <f t="shared" si="3"/>
        <v>97.454491813781615</v>
      </c>
      <c r="O51" s="18">
        <f t="shared" si="4"/>
        <v>0</v>
      </c>
      <c r="P51" s="19">
        <f t="shared" si="5"/>
        <v>-4.8182354589456651</v>
      </c>
      <c r="Q51" s="20">
        <f t="shared" si="6"/>
        <v>0.95288836440142022</v>
      </c>
      <c r="R51" s="170"/>
      <c r="S51" s="27"/>
      <c r="T51" s="27"/>
      <c r="U51" s="4"/>
      <c r="V51" s="21"/>
      <c r="W51" s="16"/>
      <c r="X51" s="16"/>
      <c r="Y51" s="30">
        <f>SUM(Y44:Y50)</f>
        <v>0</v>
      </c>
      <c r="Z51" s="30">
        <f>SUM(Z44:Z50)</f>
        <v>0</v>
      </c>
      <c r="AA51" s="166"/>
      <c r="AB51" s="166"/>
      <c r="AC51" s="30">
        <v>7</v>
      </c>
      <c r="AD51" s="30">
        <f>SUM(AD44:AD50)</f>
        <v>0</v>
      </c>
      <c r="AE51" s="18">
        <f>M51-J51</f>
        <v>-90.858154368689611</v>
      </c>
      <c r="AF51" s="20">
        <f t="shared" si="9"/>
        <v>0.95288836440142022</v>
      </c>
      <c r="AG51" s="170"/>
    </row>
    <row r="52" spans="1:33" ht="15.75" customHeight="1">
      <c r="A52" s="172" t="s">
        <v>1885</v>
      </c>
      <c r="B52" s="4" t="s">
        <v>108</v>
      </c>
      <c r="C52" s="163" t="s">
        <v>125</v>
      </c>
      <c r="D52" s="163"/>
      <c r="E52" s="35">
        <v>37.85</v>
      </c>
      <c r="F52" s="38">
        <v>1538</v>
      </c>
      <c r="G52" s="4">
        <f t="shared" ref="G52:G54" si="40">E52*F52</f>
        <v>58213.3</v>
      </c>
      <c r="H52" s="21" t="s">
        <v>133</v>
      </c>
      <c r="I52" s="15">
        <v>12</v>
      </c>
      <c r="J52" s="17">
        <v>2000</v>
      </c>
      <c r="K52" s="16">
        <f t="shared" si="1"/>
        <v>166.66666666666666</v>
      </c>
      <c r="L52" s="15">
        <v>12</v>
      </c>
      <c r="M52" s="17">
        <f t="shared" ref="M52:M54" si="41">F52/V52*60</f>
        <v>1922.5000000000007</v>
      </c>
      <c r="N52" s="16">
        <f t="shared" si="3"/>
        <v>160.2083333333334</v>
      </c>
      <c r="O52" s="18">
        <f t="shared" si="4"/>
        <v>0</v>
      </c>
      <c r="P52" s="19">
        <f t="shared" si="5"/>
        <v>-6.4583333333332575</v>
      </c>
      <c r="Q52" s="20">
        <f t="shared" si="6"/>
        <v>0.96125000000000049</v>
      </c>
      <c r="R52" s="170">
        <f>Q55</f>
        <v>0.95736991626794243</v>
      </c>
      <c r="S52" s="27">
        <v>0.20833333333333334</v>
      </c>
      <c r="T52" s="27">
        <v>0.24166666666666667</v>
      </c>
      <c r="U52" s="4"/>
      <c r="V52" s="21">
        <f t="shared" ref="V52:V54" si="42">(T52-S52)*24*60</f>
        <v>47.999999999999986</v>
      </c>
      <c r="W52" s="27"/>
      <c r="X52" s="27"/>
      <c r="Y52" s="27"/>
      <c r="Z52" s="27"/>
      <c r="AA52" s="162"/>
      <c r="AB52" s="162"/>
      <c r="AC52" s="24">
        <v>3</v>
      </c>
      <c r="AD52" s="24"/>
      <c r="AE52" s="18">
        <f t="shared" ref="AE52:AE61" si="43">M52-J52</f>
        <v>-77.499999999999318</v>
      </c>
      <c r="AF52" s="20">
        <f t="shared" si="9"/>
        <v>0.96125000000000038</v>
      </c>
      <c r="AG52" s="170">
        <f>AF55</f>
        <v>0.95736991626794254</v>
      </c>
    </row>
    <row r="53" spans="1:33" ht="15.75" customHeight="1">
      <c r="A53" s="172" t="s">
        <v>1885</v>
      </c>
      <c r="B53" s="4" t="s">
        <v>108</v>
      </c>
      <c r="C53" s="163" t="s">
        <v>126</v>
      </c>
      <c r="D53" s="163"/>
      <c r="E53" s="35">
        <v>34.36</v>
      </c>
      <c r="F53" s="38">
        <v>1816</v>
      </c>
      <c r="G53" s="4">
        <f t="shared" si="40"/>
        <v>62397.760000000002</v>
      </c>
      <c r="H53" s="21" t="s">
        <v>133</v>
      </c>
      <c r="I53" s="15">
        <v>10</v>
      </c>
      <c r="J53" s="17">
        <v>3000</v>
      </c>
      <c r="K53" s="16">
        <f t="shared" si="1"/>
        <v>300</v>
      </c>
      <c r="L53" s="15">
        <v>10</v>
      </c>
      <c r="M53" s="17">
        <f t="shared" si="41"/>
        <v>2867.3684210526294</v>
      </c>
      <c r="N53" s="16">
        <f t="shared" si="3"/>
        <v>286.73684210526295</v>
      </c>
      <c r="O53" s="18">
        <f t="shared" si="4"/>
        <v>0</v>
      </c>
      <c r="P53" s="19">
        <f t="shared" si="5"/>
        <v>-13.263157894737049</v>
      </c>
      <c r="Q53" s="20">
        <f t="shared" si="6"/>
        <v>0.95578947368420986</v>
      </c>
      <c r="R53" s="170"/>
      <c r="S53" s="27">
        <v>0.24652777777777779</v>
      </c>
      <c r="T53" s="27">
        <v>0.2729166666666667</v>
      </c>
      <c r="U53" s="4">
        <f t="shared" ref="U53:U54" si="44">(S53-T52)*24*60</f>
        <v>7.0000000000000151</v>
      </c>
      <c r="V53" s="21">
        <f t="shared" si="42"/>
        <v>38.000000000000028</v>
      </c>
      <c r="W53" s="4"/>
      <c r="X53" s="4"/>
      <c r="Y53" s="4"/>
      <c r="Z53" s="4"/>
      <c r="AA53" s="162"/>
      <c r="AB53" s="162"/>
      <c r="AC53" s="24"/>
      <c r="AD53" s="24"/>
      <c r="AE53" s="18">
        <f t="shared" si="43"/>
        <v>-132.6315789473706</v>
      </c>
      <c r="AF53" s="20">
        <f t="shared" si="9"/>
        <v>0.95578947368420974</v>
      </c>
      <c r="AG53" s="170"/>
    </row>
    <row r="54" spans="1:33" ht="15.75" customHeight="1">
      <c r="A54" s="172" t="s">
        <v>297</v>
      </c>
      <c r="B54" s="4" t="s">
        <v>108</v>
      </c>
      <c r="C54" s="163" t="s">
        <v>127</v>
      </c>
      <c r="D54" s="163"/>
      <c r="E54" s="35">
        <v>35.119999999999997</v>
      </c>
      <c r="F54" s="38">
        <v>4734</v>
      </c>
      <c r="G54" s="4">
        <f t="shared" si="40"/>
        <v>166258.07999999999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41"/>
        <v>2869.0909090909099</v>
      </c>
      <c r="N54" s="16">
        <f t="shared" si="3"/>
        <v>286.90909090909099</v>
      </c>
      <c r="O54" s="18">
        <f t="shared" si="4"/>
        <v>0</v>
      </c>
      <c r="P54" s="19">
        <f t="shared" si="5"/>
        <v>-13.090909090909008</v>
      </c>
      <c r="Q54" s="20">
        <f t="shared" si="6"/>
        <v>0.95636363636363664</v>
      </c>
      <c r="R54" s="170"/>
      <c r="S54" s="27">
        <v>0.27638888888888891</v>
      </c>
      <c r="T54" s="27">
        <v>0.34513888888888888</v>
      </c>
      <c r="U54" s="4">
        <f t="shared" si="44"/>
        <v>4.9999999999999822</v>
      </c>
      <c r="V54" s="21">
        <f t="shared" si="42"/>
        <v>98.999999999999972</v>
      </c>
      <c r="W54" s="4"/>
      <c r="X54" s="4"/>
      <c r="Y54" s="4"/>
      <c r="Z54" s="4"/>
      <c r="AA54" s="162"/>
      <c r="AB54" s="162"/>
      <c r="AC54" s="24"/>
      <c r="AD54" s="24"/>
      <c r="AE54" s="18">
        <f t="shared" si="43"/>
        <v>-130.90909090909008</v>
      </c>
      <c r="AF54" s="20">
        <f t="shared" si="9"/>
        <v>0.95636363636363664</v>
      </c>
      <c r="AG54" s="170"/>
    </row>
    <row r="55" spans="1:33">
      <c r="A55" s="173" t="s">
        <v>1885</v>
      </c>
      <c r="B55" s="35" t="s">
        <v>1875</v>
      </c>
      <c r="C55" s="171"/>
      <c r="D55" s="171"/>
      <c r="E55" s="36"/>
      <c r="F55" s="16"/>
      <c r="G55" s="16"/>
      <c r="H55" s="4"/>
      <c r="I55" s="29">
        <v>10.666666666666666</v>
      </c>
      <c r="J55" s="17">
        <v>2666.6666666666665</v>
      </c>
      <c r="K55" s="16">
        <f t="shared" si="1"/>
        <v>250</v>
      </c>
      <c r="L55" s="29">
        <v>10.666666666666666</v>
      </c>
      <c r="M55" s="17">
        <f>AVERAGE(M52:M54)</f>
        <v>2552.9864433811799</v>
      </c>
      <c r="N55" s="16">
        <f t="shared" si="3"/>
        <v>239.34247906698562</v>
      </c>
      <c r="O55" s="18">
        <f t="shared" si="4"/>
        <v>0</v>
      </c>
      <c r="P55" s="19">
        <f t="shared" si="5"/>
        <v>-10.657520933014382</v>
      </c>
      <c r="Q55" s="20">
        <f t="shared" si="6"/>
        <v>0.95736991626794243</v>
      </c>
      <c r="R55" s="170"/>
      <c r="S55" s="27"/>
      <c r="T55" s="27"/>
      <c r="U55" s="16"/>
      <c r="V55" s="21"/>
      <c r="W55" s="16"/>
      <c r="X55" s="16"/>
      <c r="Y55" s="30">
        <f>SUM(Y52:Y54)</f>
        <v>0</v>
      </c>
      <c r="Z55" s="30">
        <f>SUM(Z52:Z54)</f>
        <v>0</v>
      </c>
      <c r="AA55" s="166"/>
      <c r="AB55" s="166"/>
      <c r="AC55" s="30">
        <v>3</v>
      </c>
      <c r="AD55" s="30">
        <f>SUM(AD52:AD54)</f>
        <v>0</v>
      </c>
      <c r="AE55" s="18">
        <f t="shared" si="43"/>
        <v>-113.68022328548659</v>
      </c>
      <c r="AF55" s="20">
        <f t="shared" si="9"/>
        <v>0.95736991626794254</v>
      </c>
      <c r="AG55" s="170"/>
    </row>
    <row r="56" spans="1:33" ht="15.75" customHeight="1">
      <c r="A56" s="167" t="s">
        <v>76</v>
      </c>
      <c r="B56" s="4" t="s">
        <v>97</v>
      </c>
      <c r="C56" s="163" t="s">
        <v>128</v>
      </c>
      <c r="D56" s="163"/>
      <c r="E56" s="35">
        <v>20.2</v>
      </c>
      <c r="F56" s="4">
        <v>2171</v>
      </c>
      <c r="G56" s="4">
        <f t="shared" ref="G56:G60" si="45">E56*F56</f>
        <v>43854.2</v>
      </c>
      <c r="H56" s="21" t="s">
        <v>133</v>
      </c>
      <c r="I56" s="15">
        <v>15</v>
      </c>
      <c r="J56" s="17">
        <v>2400</v>
      </c>
      <c r="K56" s="16">
        <f t="shared" si="1"/>
        <v>160</v>
      </c>
      <c r="L56" s="15">
        <v>15</v>
      </c>
      <c r="M56" s="17">
        <f t="shared" ref="M56:M60" si="46">F56/V56*60</f>
        <v>2285.2631578947371</v>
      </c>
      <c r="N56" s="16">
        <f t="shared" si="3"/>
        <v>152.35087719298247</v>
      </c>
      <c r="O56" s="18">
        <f t="shared" si="4"/>
        <v>0</v>
      </c>
      <c r="P56" s="19">
        <f t="shared" si="5"/>
        <v>-7.6491228070175339</v>
      </c>
      <c r="Q56" s="20">
        <f t="shared" si="6"/>
        <v>0.95219298245614037</v>
      </c>
      <c r="R56" s="170">
        <f>Q61</f>
        <v>0.95830200894084749</v>
      </c>
      <c r="S56" s="27">
        <v>8.3333333333333329E-2</v>
      </c>
      <c r="T56" s="27">
        <v>0.12291666666666666</v>
      </c>
      <c r="U56" s="27"/>
      <c r="V56" s="21">
        <f t="shared" ref="V56:V60" si="47">(T56-S56)*24*60</f>
        <v>57</v>
      </c>
      <c r="W56" s="22">
        <f>T56</f>
        <v>0.12291666666666666</v>
      </c>
      <c r="X56" s="22">
        <f>S57</f>
        <v>0.14166666666666666</v>
      </c>
      <c r="Y56" s="22"/>
      <c r="Z56" s="22"/>
      <c r="AA56" s="162"/>
      <c r="AB56" s="162"/>
      <c r="AC56" s="24">
        <v>5</v>
      </c>
      <c r="AD56" s="24"/>
      <c r="AE56" s="18">
        <f t="shared" si="43"/>
        <v>-114.73684210526289</v>
      </c>
      <c r="AF56" s="20">
        <f t="shared" si="9"/>
        <v>0.95219298245614048</v>
      </c>
      <c r="AG56" s="170">
        <f>AF61</f>
        <v>0.95830200894084749</v>
      </c>
    </row>
    <row r="57" spans="1:33" ht="15.75" customHeight="1">
      <c r="A57" s="168" t="s">
        <v>1886</v>
      </c>
      <c r="B57" s="4" t="s">
        <v>97</v>
      </c>
      <c r="C57" s="163" t="s">
        <v>129</v>
      </c>
      <c r="D57" s="163"/>
      <c r="E57" s="35">
        <v>24.45</v>
      </c>
      <c r="F57" s="4">
        <v>2117</v>
      </c>
      <c r="G57" s="4">
        <f t="shared" si="45"/>
        <v>51760.65</v>
      </c>
      <c r="H57" s="21" t="s">
        <v>133</v>
      </c>
      <c r="I57" s="15">
        <v>19</v>
      </c>
      <c r="J57" s="17">
        <v>2400</v>
      </c>
      <c r="K57" s="16">
        <f t="shared" si="1"/>
        <v>126.31578947368421</v>
      </c>
      <c r="L57" s="15">
        <v>19</v>
      </c>
      <c r="M57" s="17">
        <f t="shared" si="46"/>
        <v>2309.454545454545</v>
      </c>
      <c r="N57" s="16">
        <f t="shared" si="3"/>
        <v>121.55023923444973</v>
      </c>
      <c r="O57" s="18">
        <f t="shared" si="4"/>
        <v>0</v>
      </c>
      <c r="P57" s="19">
        <f t="shared" si="5"/>
        <v>-4.7655502392344715</v>
      </c>
      <c r="Q57" s="20">
        <f t="shared" si="6"/>
        <v>0.96227272727272706</v>
      </c>
      <c r="R57" s="170"/>
      <c r="S57" s="27">
        <v>0.14166666666666666</v>
      </c>
      <c r="T57" s="27">
        <v>0.17986111111111111</v>
      </c>
      <c r="U57" s="4">
        <f t="shared" ref="U57:U60" si="48">(S57-T56)*24*60</f>
        <v>27.000000000000004</v>
      </c>
      <c r="V57" s="21">
        <f t="shared" si="47"/>
        <v>55.000000000000007</v>
      </c>
      <c r="W57" s="22"/>
      <c r="X57" s="22"/>
      <c r="Y57" s="22"/>
      <c r="Z57" s="22"/>
      <c r="AA57" s="162"/>
      <c r="AB57" s="162"/>
      <c r="AC57" s="24"/>
      <c r="AD57" s="24"/>
      <c r="AE57" s="18">
        <f t="shared" si="43"/>
        <v>-90.545454545454959</v>
      </c>
      <c r="AF57" s="20">
        <f t="shared" si="9"/>
        <v>0.96227272727272706</v>
      </c>
      <c r="AG57" s="170"/>
    </row>
    <row r="58" spans="1:33" ht="15.75" customHeight="1">
      <c r="A58" s="168" t="s">
        <v>1887</v>
      </c>
      <c r="B58" s="4" t="s">
        <v>97</v>
      </c>
      <c r="C58" s="163" t="s">
        <v>106</v>
      </c>
      <c r="D58" s="163"/>
      <c r="E58" s="35">
        <v>20.21</v>
      </c>
      <c r="F58" s="4">
        <v>2242</v>
      </c>
      <c r="G58" s="4">
        <f t="shared" si="45"/>
        <v>45310.82</v>
      </c>
      <c r="H58" s="21" t="s">
        <v>133</v>
      </c>
      <c r="I58" s="15">
        <v>15</v>
      </c>
      <c r="J58" s="17">
        <v>2400</v>
      </c>
      <c r="K58" s="16">
        <f t="shared" si="1"/>
        <v>160</v>
      </c>
      <c r="L58" s="15">
        <v>15</v>
      </c>
      <c r="M58" s="17">
        <f t="shared" si="46"/>
        <v>2319.3103448275865</v>
      </c>
      <c r="N58" s="16">
        <f t="shared" si="3"/>
        <v>154.62068965517244</v>
      </c>
      <c r="O58" s="18">
        <f t="shared" si="4"/>
        <v>0</v>
      </c>
      <c r="P58" s="19">
        <f t="shared" si="5"/>
        <v>-5.3793103448275588</v>
      </c>
      <c r="Q58" s="20">
        <f t="shared" si="6"/>
        <v>0.96637931034482771</v>
      </c>
      <c r="R58" s="170"/>
      <c r="S58" s="27">
        <v>0.18402777777777779</v>
      </c>
      <c r="T58" s="27">
        <v>0.22430555555555556</v>
      </c>
      <c r="U58" s="4">
        <f t="shared" si="48"/>
        <v>6.0000000000000187</v>
      </c>
      <c r="V58" s="21">
        <f t="shared" si="47"/>
        <v>57.999999999999993</v>
      </c>
      <c r="W58" s="22"/>
      <c r="X58" s="22"/>
      <c r="Y58" s="22"/>
      <c r="Z58" s="22"/>
      <c r="AA58" s="162"/>
      <c r="AB58" s="162"/>
      <c r="AC58" s="24"/>
      <c r="AD58" s="24"/>
      <c r="AE58" s="18">
        <f t="shared" si="43"/>
        <v>-80.689655172413495</v>
      </c>
      <c r="AF58" s="20">
        <f t="shared" si="9"/>
        <v>0.96637931034482771</v>
      </c>
      <c r="AG58" s="170"/>
    </row>
    <row r="59" spans="1:33" ht="15.75" customHeight="1">
      <c r="A59" s="168" t="s">
        <v>76</v>
      </c>
      <c r="B59" s="4" t="s">
        <v>97</v>
      </c>
      <c r="C59" s="163" t="s">
        <v>130</v>
      </c>
      <c r="D59" s="163"/>
      <c r="E59" s="35">
        <v>24.43</v>
      </c>
      <c r="F59" s="4">
        <v>5539</v>
      </c>
      <c r="G59" s="4">
        <f t="shared" si="45"/>
        <v>135317.76999999999</v>
      </c>
      <c r="H59" s="21" t="s">
        <v>133</v>
      </c>
      <c r="I59" s="15">
        <v>14</v>
      </c>
      <c r="J59" s="17">
        <v>2400</v>
      </c>
      <c r="K59" s="16">
        <f t="shared" si="1"/>
        <v>171.42857142857142</v>
      </c>
      <c r="L59" s="15">
        <v>14</v>
      </c>
      <c r="M59" s="17">
        <f t="shared" si="46"/>
        <v>2292.0000000000005</v>
      </c>
      <c r="N59" s="16">
        <f t="shared" si="3"/>
        <v>163.71428571428575</v>
      </c>
      <c r="O59" s="18">
        <f t="shared" si="4"/>
        <v>0</v>
      </c>
      <c r="P59" s="19">
        <f t="shared" si="5"/>
        <v>-7.7142857142856656</v>
      </c>
      <c r="Q59" s="20">
        <f t="shared" si="6"/>
        <v>0.95500000000000029</v>
      </c>
      <c r="R59" s="170"/>
      <c r="S59" s="27">
        <v>0.22986111111111113</v>
      </c>
      <c r="T59" s="27">
        <v>0.33055555555555555</v>
      </c>
      <c r="U59" s="4">
        <f t="shared" si="48"/>
        <v>8.0000000000000107</v>
      </c>
      <c r="V59" s="21">
        <f t="shared" si="47"/>
        <v>144.99999999999997</v>
      </c>
      <c r="W59" s="22"/>
      <c r="X59" s="22"/>
      <c r="Y59" s="22"/>
      <c r="Z59" s="22"/>
      <c r="AA59" s="162"/>
      <c r="AB59" s="162"/>
      <c r="AC59" s="24"/>
      <c r="AD59" s="24"/>
      <c r="AE59" s="18">
        <f t="shared" si="43"/>
        <v>-107.99999999999955</v>
      </c>
      <c r="AF59" s="20">
        <f t="shared" si="9"/>
        <v>0.95500000000000018</v>
      </c>
      <c r="AG59" s="170"/>
    </row>
    <row r="60" spans="1:33" ht="15.75" customHeight="1">
      <c r="A60" s="168" t="s">
        <v>76</v>
      </c>
      <c r="B60" s="4" t="s">
        <v>97</v>
      </c>
      <c r="C60" s="163" t="s">
        <v>132</v>
      </c>
      <c r="D60" s="163"/>
      <c r="E60" s="35">
        <v>19.02</v>
      </c>
      <c r="F60" s="4">
        <v>7760</v>
      </c>
      <c r="G60" s="4">
        <f t="shared" si="45"/>
        <v>147595.19999999998</v>
      </c>
      <c r="H60" s="21" t="s">
        <v>133</v>
      </c>
      <c r="I60" s="15">
        <v>14</v>
      </c>
      <c r="J60" s="17">
        <v>2400</v>
      </c>
      <c r="K60" s="16">
        <f t="shared" si="1"/>
        <v>171.42857142857142</v>
      </c>
      <c r="L60" s="15">
        <v>14</v>
      </c>
      <c r="M60" s="17">
        <f t="shared" si="46"/>
        <v>2293.5960591133003</v>
      </c>
      <c r="N60" s="16">
        <f t="shared" si="3"/>
        <v>163.82828993666431</v>
      </c>
      <c r="O60" s="18">
        <f t="shared" si="4"/>
        <v>0</v>
      </c>
      <c r="P60" s="19">
        <f t="shared" si="5"/>
        <v>-7.6002814919071113</v>
      </c>
      <c r="Q60" s="20">
        <f t="shared" si="6"/>
        <v>0.95566502463054182</v>
      </c>
      <c r="R60" s="170"/>
      <c r="S60" s="27">
        <v>0.33541666666666664</v>
      </c>
      <c r="T60" s="27">
        <v>0.47638888888888886</v>
      </c>
      <c r="U60" s="4">
        <f t="shared" si="48"/>
        <v>6.9999999999999751</v>
      </c>
      <c r="V60" s="21">
        <f t="shared" si="47"/>
        <v>203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-106.40394088669973</v>
      </c>
      <c r="AF60" s="20">
        <f t="shared" si="9"/>
        <v>0.95566502463054182</v>
      </c>
      <c r="AG60" s="170"/>
    </row>
    <row r="61" spans="1:33" ht="16.5" customHeight="1">
      <c r="A61" s="169" t="s">
        <v>76</v>
      </c>
      <c r="B61" s="35" t="s">
        <v>1875</v>
      </c>
      <c r="C61" s="164"/>
      <c r="D61" s="165"/>
      <c r="E61" s="36"/>
      <c r="F61" s="16"/>
      <c r="G61" s="16"/>
      <c r="H61" s="4"/>
      <c r="I61" s="29">
        <v>15.4</v>
      </c>
      <c r="J61" s="17">
        <v>2400</v>
      </c>
      <c r="K61" s="16">
        <f t="shared" si="1"/>
        <v>155.84415584415584</v>
      </c>
      <c r="L61" s="29">
        <v>15.4</v>
      </c>
      <c r="M61" s="17">
        <f>AVERAGE(M56:M60)</f>
        <v>2299.9248214580339</v>
      </c>
      <c r="N61" s="16">
        <f t="shared" si="3"/>
        <v>149.34576762714505</v>
      </c>
      <c r="O61" s="18">
        <f t="shared" si="4"/>
        <v>0</v>
      </c>
      <c r="P61" s="19">
        <f t="shared" si="5"/>
        <v>-6.4983882170107847</v>
      </c>
      <c r="Q61" s="20">
        <f t="shared" si="6"/>
        <v>0.95830200894084749</v>
      </c>
      <c r="R61" s="170"/>
      <c r="S61" s="27"/>
      <c r="T61" s="27"/>
      <c r="U61" s="16"/>
      <c r="V61" s="21"/>
      <c r="W61" s="16"/>
      <c r="X61" s="16"/>
      <c r="Y61" s="30">
        <f>SUM(Y56:Y60)</f>
        <v>0</v>
      </c>
      <c r="Z61" s="30">
        <f>SUM(Z56:Z60)</f>
        <v>0</v>
      </c>
      <c r="AA61" s="166"/>
      <c r="AB61" s="166"/>
      <c r="AC61" s="30">
        <v>5</v>
      </c>
      <c r="AD61" s="30">
        <f>SUM(AD56:AD60)</f>
        <v>0</v>
      </c>
      <c r="AE61" s="18">
        <f t="shared" si="43"/>
        <v>-100.07517854196612</v>
      </c>
      <c r="AF61" s="20">
        <f t="shared" si="9"/>
        <v>0.95830200894084749</v>
      </c>
      <c r="AG61" s="170"/>
    </row>
    <row r="62" spans="1:33">
      <c r="D62" s="41"/>
      <c r="E62" s="41"/>
    </row>
  </sheetData>
  <mergeCells count="17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A18:A23"/>
    <mergeCell ref="C18:D18"/>
    <mergeCell ref="R18:R23"/>
    <mergeCell ref="AA18:AB18"/>
    <mergeCell ref="AA23:AB23"/>
    <mergeCell ref="A13:A17"/>
    <mergeCell ref="C13:D13"/>
    <mergeCell ref="R13:R17"/>
    <mergeCell ref="AA13:AB13"/>
    <mergeCell ref="AG24:AG29"/>
    <mergeCell ref="C25:D25"/>
    <mergeCell ref="AA25:AB25"/>
    <mergeCell ref="C26:D26"/>
    <mergeCell ref="AA26:AB26"/>
    <mergeCell ref="C27:D27"/>
    <mergeCell ref="AG18:AG23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7:AB27"/>
    <mergeCell ref="C28:D28"/>
    <mergeCell ref="AA28:AB28"/>
    <mergeCell ref="C29:D29"/>
    <mergeCell ref="AA29:AB29"/>
    <mergeCell ref="A30:A35"/>
    <mergeCell ref="C30:D30"/>
    <mergeCell ref="R30:R35"/>
    <mergeCell ref="AA30:AB30"/>
    <mergeCell ref="AA35:AB35"/>
    <mergeCell ref="A24:A29"/>
    <mergeCell ref="C24:D24"/>
    <mergeCell ref="R24:R29"/>
    <mergeCell ref="AA24:AB24"/>
    <mergeCell ref="AG36:AG43"/>
    <mergeCell ref="C37:D37"/>
    <mergeCell ref="AA37:AB37"/>
    <mergeCell ref="C38:D38"/>
    <mergeCell ref="AA38:AB38"/>
    <mergeCell ref="C39:D39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C43:D43"/>
    <mergeCell ref="AA43:AB43"/>
    <mergeCell ref="A44:A51"/>
    <mergeCell ref="C44:D44"/>
    <mergeCell ref="R44:R51"/>
    <mergeCell ref="AA44:AB44"/>
    <mergeCell ref="AA50:AB50"/>
    <mergeCell ref="C51:D51"/>
    <mergeCell ref="AA51:AB51"/>
    <mergeCell ref="A56:A61"/>
    <mergeCell ref="C56:D56"/>
    <mergeCell ref="AG44:AG51"/>
    <mergeCell ref="C45:D45"/>
    <mergeCell ref="AA45:AB45"/>
    <mergeCell ref="C46:D46"/>
    <mergeCell ref="AA46:AB46"/>
    <mergeCell ref="AA47:AB47"/>
    <mergeCell ref="AA48:AB48"/>
    <mergeCell ref="C49:D49"/>
    <mergeCell ref="AA49:AB49"/>
    <mergeCell ref="C50:D50"/>
    <mergeCell ref="R56:R61"/>
    <mergeCell ref="AA56:AB56"/>
    <mergeCell ref="AG56:AG61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C61:D61"/>
    <mergeCell ref="AA61:AB61"/>
    <mergeCell ref="AA55:AB55"/>
    <mergeCell ref="C53:D53"/>
    <mergeCell ref="AA53:AB53"/>
    <mergeCell ref="C54:D54"/>
    <mergeCell ref="AA54:AB54"/>
    <mergeCell ref="C55:D55"/>
    <mergeCell ref="C59:D59"/>
    <mergeCell ref="AA59:AB59"/>
    <mergeCell ref="C60:D60"/>
    <mergeCell ref="AA60:AB60"/>
  </mergeCells>
  <phoneticPr fontId="3" type="noConversion"/>
  <conditionalFormatting sqref="O5:O61">
    <cfRule type="cellIs" dxfId="186" priority="9" operator="greaterThan">
      <formula>0</formula>
    </cfRule>
  </conditionalFormatting>
  <conditionalFormatting sqref="P5:P61">
    <cfRule type="cellIs" dxfId="185" priority="1" operator="lessThan">
      <formula>0</formula>
    </cfRule>
  </conditionalFormatting>
  <conditionalFormatting sqref="Q5:Q61 AF5:AF61">
    <cfRule type="cellIs" dxfId="184" priority="10" operator="greaterThan">
      <formula>1</formula>
    </cfRule>
    <cfRule type="cellIs" dxfId="183" priority="11" operator="lessThan">
      <formula>0.8</formula>
    </cfRule>
  </conditionalFormatting>
  <conditionalFormatting sqref="R5:R10 AG5:AG10">
    <cfRule type="cellIs" dxfId="182" priority="48" operator="lessThan">
      <formula>0.8</formula>
    </cfRule>
  </conditionalFormatting>
  <conditionalFormatting sqref="AE5:AE61">
    <cfRule type="cellIs" dxfId="181" priority="12" operator="lessThan">
      <formula>0</formula>
    </cfRule>
  </conditionalFormatting>
  <conditionalFormatting sqref="AG13:AG54 R13:R61">
    <cfRule type="cellIs" dxfId="180" priority="13" operator="lessThan">
      <formula>0.8</formula>
    </cfRule>
  </conditionalFormatting>
  <dataValidations count="1">
    <dataValidation type="list" allowBlank="1" showInputMessage="1" showErrorMessage="1" sqref="AB9 AA5:AB8 AB11:AB52 AA9:AA54 AA55:AB61" xr:uid="{00000000-0002-0000-1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32"/>
  <sheetViews>
    <sheetView zoomScale="85" zoomScaleNormal="85" workbookViewId="0">
      <selection activeCell="A27" sqref="A27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1672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1673</v>
      </c>
      <c r="C3" s="151" t="str">
        <f>TEXT('0320 4度C'!A2,"yyyy.mm.ddaaaa")</f>
        <v>2026.03.20星期五</v>
      </c>
      <c r="D3" s="152"/>
      <c r="E3" s="45" t="s">
        <v>1674</v>
      </c>
      <c r="F3" s="153">
        <f>'0320 4度C'!D1</f>
        <v>126918</v>
      </c>
      <c r="G3" s="154"/>
      <c r="H3" s="45" t="s">
        <v>1675</v>
      </c>
      <c r="I3" s="155">
        <f>'0320 4度C'!F1</f>
        <v>4221198.25</v>
      </c>
      <c r="J3" s="156"/>
      <c r="K3" s="46"/>
      <c r="L3" s="47"/>
      <c r="M3" s="47"/>
      <c r="N3" s="47"/>
    </row>
    <row r="4" spans="2:17" ht="28.5" customHeight="1">
      <c r="B4" s="157" t="s">
        <v>1676</v>
      </c>
      <c r="C4" s="143" t="s">
        <v>1677</v>
      </c>
      <c r="D4" s="144"/>
      <c r="E4" s="160" t="s">
        <v>1678</v>
      </c>
      <c r="F4" s="161"/>
      <c r="G4" s="160" t="s">
        <v>1679</v>
      </c>
      <c r="H4" s="161"/>
      <c r="I4" s="160" t="s">
        <v>1680</v>
      </c>
      <c r="J4" s="161"/>
      <c r="K4" s="141" t="s">
        <v>1681</v>
      </c>
      <c r="L4" s="142"/>
      <c r="M4" s="142" t="s">
        <v>1682</v>
      </c>
      <c r="N4" s="142"/>
    </row>
    <row r="5" spans="2:17" ht="28.5" customHeight="1">
      <c r="B5" s="158"/>
      <c r="C5" s="143" t="s">
        <v>1683</v>
      </c>
      <c r="D5" s="144"/>
      <c r="E5" s="143" t="s">
        <v>1684</v>
      </c>
      <c r="F5" s="144"/>
      <c r="G5" s="145" t="s">
        <v>521</v>
      </c>
      <c r="H5" s="146"/>
      <c r="I5" s="147" t="s">
        <v>1685</v>
      </c>
      <c r="J5" s="148"/>
      <c r="K5" s="48" t="s">
        <v>1686</v>
      </c>
      <c r="L5" s="49" t="s">
        <v>1687</v>
      </c>
      <c r="M5" s="48" t="s">
        <v>1688</v>
      </c>
      <c r="N5" s="49" t="s">
        <v>215</v>
      </c>
    </row>
    <row r="6" spans="2:17" ht="28.5" customHeight="1">
      <c r="B6" s="158"/>
      <c r="C6" s="143" t="s">
        <v>153</v>
      </c>
      <c r="D6" s="144"/>
      <c r="E6" s="135">
        <f>AVERAGE(D13:M13)</f>
        <v>152.35547740163582</v>
      </c>
      <c r="F6" s="136">
        <f>AVERAGE(D31:O31,D13:J13)</f>
        <v>157.27317131426722</v>
      </c>
      <c r="G6" s="137">
        <f>AVERAGE(D13:J13)</f>
        <v>157.27317131426722</v>
      </c>
      <c r="H6" s="138"/>
      <c r="I6" s="137">
        <f>AVERAGE(K13:M13)</f>
        <v>140.88085827216261</v>
      </c>
      <c r="J6" s="138"/>
      <c r="K6" s="139">
        <f>'0320 4度C'!Y2</f>
        <v>0</v>
      </c>
      <c r="L6" s="124">
        <f>'0320 4度C'!Z2</f>
        <v>0</v>
      </c>
      <c r="M6" s="140">
        <f>'0320 4度C'!AC2</f>
        <v>47</v>
      </c>
      <c r="N6" s="124">
        <f>'0320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145.8853780858646</v>
      </c>
      <c r="F7" s="128">
        <f>AVERAGE(D32:O32,D14:J14)</f>
        <v>150.69614063191037</v>
      </c>
      <c r="G7" s="129">
        <f>AVERAGE(D14:J14)</f>
        <v>150.69614063191037</v>
      </c>
      <c r="H7" s="130"/>
      <c r="I7" s="129">
        <f>AVERAGE(K14:M14)</f>
        <v>134.66026547842458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0.95687253839943642</v>
      </c>
      <c r="F8" s="132">
        <f>AVERAGE(D15:J15,D33:O33)</f>
        <v>0.95733096414282259</v>
      </c>
      <c r="G8" s="133">
        <f>AVERAGE(D15:J15)</f>
        <v>0.95733096414282259</v>
      </c>
      <c r="H8" s="134"/>
      <c r="I8" s="133">
        <f>AVERAGE(K15:M15)</f>
        <v>0.95580287833153543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1689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1690</v>
      </c>
      <c r="E10" s="110"/>
      <c r="F10" s="110"/>
      <c r="G10" s="110"/>
      <c r="H10" s="110"/>
      <c r="I10" s="110"/>
      <c r="J10" s="111"/>
      <c r="K10" s="112" t="s">
        <v>1691</v>
      </c>
      <c r="L10" s="113"/>
      <c r="M10" s="114"/>
      <c r="P10" s="53"/>
      <c r="Q10" s="53"/>
    </row>
    <row r="11" spans="2:17" ht="17.25" customHeight="1">
      <c r="B11" s="115" t="s">
        <v>1692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1693</v>
      </c>
      <c r="C13" s="60" t="s">
        <v>1694</v>
      </c>
      <c r="D13" s="61">
        <f>SUMIFS('0320 4度C'!$K:$K,'0320 4度C'!$A:$A,"新豐6線",'0320 4度C'!$B:$B,"平均")</f>
        <v>111.11111111111111</v>
      </c>
      <c r="E13" s="62">
        <f>SUMIFS('0320 4度C'!$K:$K,'0320 4度C'!$A:$A,"新豐2線",'0320 4度C'!$B:$B,"平均")</f>
        <v>83.333333333333329</v>
      </c>
      <c r="F13" s="63">
        <f>SUMIFS('0320 4度C'!$K:$K,'0320 4度C'!$A:$A,"新豐5線",'0320 4度C'!$B:$B,"平均")</f>
        <v>102.73972602739725</v>
      </c>
      <c r="G13" s="63">
        <f>SUMIFS('0320 4度C'!$K:$K,'0320 4度C'!$A:$A,"新豐7線",'0320 4度C'!$B:$B,"平均")</f>
        <v>128.37837837837839</v>
      </c>
      <c r="H13" s="63">
        <f>SUMIFS('0320 4度C'!$K:$K,'0320 4度C'!$A:$A,"新豐3線",'0320 4度C'!$B:$B,"平均")</f>
        <v>323.07692307692304</v>
      </c>
      <c r="I13" s="63">
        <f>SUMIFS('0320 4度C'!$K:$K,'0320 4度C'!$A:$A,"新豐1線",'0320 4度C'!$B:$B,"平均")</f>
        <v>102.27272727272728</v>
      </c>
      <c r="J13" s="64">
        <f>SUMIFS('0320 4度C'!$K:$K,'0320 4度C'!$A:$A,"新豐10線",'0320 4度C'!$B:$B,"平均")</f>
        <v>250</v>
      </c>
      <c r="K13" s="65">
        <f>SUMIFS('0320 4度C'!$K:$K,'0320 4度C'!$A:$A,"新豐8線",'0320 4度C'!$B:$B,"平均")</f>
        <v>130.43478260869566</v>
      </c>
      <c r="L13" s="66">
        <f>SUMIFS('0320 4度C'!$K:$K,'0320 4度C'!$A:$A,"新豐9線",'0320 4度C'!$B:$B,"平均")</f>
        <v>136.36363636363635</v>
      </c>
      <c r="M13" s="64">
        <f>SUMIFS('0320 4度C'!$K:$K,'0320 4度C'!$A:$A,"新豐4線",'0320 4度C'!$B:$B,"平均")</f>
        <v>155.84415584415584</v>
      </c>
    </row>
    <row r="14" spans="2:17" ht="39.6" customHeight="1">
      <c r="B14" s="120"/>
      <c r="C14" s="67" t="s">
        <v>1695</v>
      </c>
      <c r="D14" s="68">
        <f>SUMIFS('0320 4度C'!$N:$N,'0320 4度C'!$A:$A,"新豐6線",'0320 4度C'!$B:$B,"平均")</f>
        <v>106.1955213903744</v>
      </c>
      <c r="E14" s="69">
        <f>SUMIFS('0320 4度C'!$N:$N,'0320 4度C'!$A:$A,"新豐2線",'0320 4度C'!$B:$B,"平均")</f>
        <v>79.500870528648321</v>
      </c>
      <c r="F14" s="69">
        <f>SUMIFS('0320 4度C'!$N:$N,'0320 4度C'!$A:$A,"新豐5線",'0320 4度C'!$B:$B,"平均")</f>
        <v>98.486523037791159</v>
      </c>
      <c r="G14" s="69">
        <f>SUMIFS('0320 4度C'!$N:$N,'0320 4度C'!$A:$A,"新豐7線",'0320 4度C'!$B:$B,"平均")</f>
        <v>123.21343773125611</v>
      </c>
      <c r="H14" s="69">
        <f>SUMIFS('0320 4度C'!$N:$N,'0320 4度C'!$A:$A,"新豐3線",'0320 4度C'!$B:$B,"平均")</f>
        <v>309.52105330264322</v>
      </c>
      <c r="I14" s="69">
        <f>SUMIFS('0320 4度C'!$N:$N,'0320 4度C'!$A:$A,"新豐1線",'0320 4度C'!$B:$B,"平均")</f>
        <v>97.496472571415325</v>
      </c>
      <c r="J14" s="70">
        <f>SUMIFS('0320 4度C'!$N:$N,'0320 4度C'!$A:$A,"新豐10線",'0320 4度C'!$B:$B,"平均")</f>
        <v>240.45910586124407</v>
      </c>
      <c r="K14" s="71">
        <f>SUMIFS('0320 4度C'!$N:$N,'0320 4度C'!$A:$A,"新豐8線",'0320 4度C'!$B:$B,"平均")</f>
        <v>124.63205464164378</v>
      </c>
      <c r="L14" s="72">
        <f>SUMIFS('0320 4度C'!$N:$N,'0320 4度C'!$A:$A,"新豐9線",'0320 4度C'!$B:$B,"平均")</f>
        <v>130.26377043586734</v>
      </c>
      <c r="M14" s="70">
        <f>SUMIFS('0320 4度C'!$N:$N,'0320 4度C'!$A:$A,"新豐4線",'0320 4度C'!$B:$B,"平均")</f>
        <v>149.08497135776258</v>
      </c>
    </row>
    <row r="15" spans="2:17" ht="40.15" customHeight="1">
      <c r="B15" s="121"/>
      <c r="C15" s="73" t="s">
        <v>1696</v>
      </c>
      <c r="D15" s="74">
        <f t="shared" ref="D15:M15" si="0">D14/D13</f>
        <v>0.95575969251336956</v>
      </c>
      <c r="E15" s="75">
        <f t="shared" si="0"/>
        <v>0.95401044634377985</v>
      </c>
      <c r="F15" s="75">
        <f t="shared" si="0"/>
        <v>0.95860215756783396</v>
      </c>
      <c r="G15" s="75">
        <f t="shared" si="0"/>
        <v>0.95976783074873173</v>
      </c>
      <c r="H15" s="75">
        <f t="shared" si="0"/>
        <v>0.95804135546056246</v>
      </c>
      <c r="I15" s="75">
        <f t="shared" si="0"/>
        <v>0.95329884292050537</v>
      </c>
      <c r="J15" s="76">
        <f t="shared" si="0"/>
        <v>0.96183642344497633</v>
      </c>
      <c r="K15" s="74">
        <f t="shared" si="0"/>
        <v>0.95551241891926897</v>
      </c>
      <c r="L15" s="75">
        <f t="shared" si="0"/>
        <v>0.95526764986302726</v>
      </c>
      <c r="M15" s="76">
        <f t="shared" si="0"/>
        <v>0.95662856621230996</v>
      </c>
    </row>
    <row r="16" spans="2:17" ht="17.25" customHeight="1">
      <c r="B16" s="122" t="s">
        <v>1697</v>
      </c>
      <c r="C16" s="77" t="s">
        <v>1698</v>
      </c>
      <c r="D16" s="78">
        <f>VLOOKUP("新豐6線",'0320 4度C'!$A:$T,19,0)</f>
        <v>0.70833333333333337</v>
      </c>
      <c r="E16" s="79">
        <f>VLOOKUP("新豐2線",'0320 4度C'!$A:$T,19,0)</f>
        <v>0.20833333333333334</v>
      </c>
      <c r="F16" s="79">
        <f>VLOOKUP("新豐5線",'0320 4度C'!$A:$T,19,0)</f>
        <v>0.20833333333333334</v>
      </c>
      <c r="G16" s="79">
        <f>VLOOKUP("新豐7線",'0320 4度C'!$A:$T,19,0)</f>
        <v>0.20833333333333334</v>
      </c>
      <c r="H16" s="79">
        <f>VLOOKUP("新豐3線",'0320 4度C'!$A:$T,19,0)</f>
        <v>8.3333333333333329E-2</v>
      </c>
      <c r="I16" s="79">
        <f>VLOOKUP("新豐1線",'0320 4度C'!$A:$T,19,0)</f>
        <v>0.20833333333333334</v>
      </c>
      <c r="J16" s="80">
        <f>VLOOKUP("新豐10線",'0320 4度C'!$A:$T,19,0)</f>
        <v>0.20833333333333334</v>
      </c>
      <c r="K16" s="81">
        <f>VLOOKUP("新豐8線",'0320 4度C'!$A:$T,19,0)</f>
        <v>8.3333333333333329E-2</v>
      </c>
      <c r="L16" s="82">
        <f>VLOOKUP("新豐9線",'0320 4度C'!$A:$T,19,0)</f>
        <v>8.3333333333333329E-2</v>
      </c>
      <c r="M16" s="83">
        <f>VLOOKUP("新豐4線",'0320 4度C'!$A:$T,19,0)</f>
        <v>8.3333333333333329E-2</v>
      </c>
    </row>
    <row r="17" spans="2:13" ht="17.25" customHeight="1">
      <c r="B17" s="123"/>
      <c r="C17" s="77" t="s">
        <v>1699</v>
      </c>
      <c r="D17" s="81">
        <f>LOOKUP(2,1/(('0320 4度C'!$A:$A="新豐6線")*('0320 4度C'!$T:$T&lt;&gt;"")),'0320 4度C'!$T:$T)</f>
        <v>0.81388888888888888</v>
      </c>
      <c r="E17" s="79">
        <f>LOOKUP(2,1/(('0320 4度C'!$A:$A="新豐2線")*('0320 4度C'!$T:$T&lt;&gt;"")),'0320 4度C'!$T:$T)</f>
        <v>0.50486111111111109</v>
      </c>
      <c r="F17" s="79">
        <f>LOOKUP(2,1/(('0320 4度C'!$A:$A="新豐5線")*('0320 4度C'!$T:$T&lt;&gt;"")),'0320 4度C'!$T:$T)</f>
        <v>0.81458333333333321</v>
      </c>
      <c r="G17" s="79">
        <f>LOOKUP(2,1/(('0320 4度C'!$A:$A="新豐7線")*('0320 4度C'!$T:$T&lt;&gt;"")),'0320 4度C'!$T:$T)</f>
        <v>0.82430555555555551</v>
      </c>
      <c r="H17" s="79">
        <f>LOOKUP(2,1/(('0320 4度C'!$A:$A="新豐3線")*('0320 4度C'!$T:$T&lt;&gt;"")),'0320 4度C'!$T:$T)</f>
        <v>0.46041666666666659</v>
      </c>
      <c r="I17" s="79">
        <f>LOOKUP(2,1/(('0320 4度C'!$A:$A="新豐1線")*('0320 4度C'!$T:$T&lt;&gt;"")),'0320 4度C'!$T:$T)</f>
        <v>0.84097222222222223</v>
      </c>
      <c r="J17" s="80">
        <f>LOOKUP(2,1/(('0320 4度C'!$A:$A="新豐10線")*('0320 4度C'!$T:$T&lt;&gt;"")),'0320 4度C'!$T:$T)</f>
        <v>0.33055555555555555</v>
      </c>
      <c r="K17" s="78">
        <f>LOOKUP(2,1/(('0320 4度C'!$A:$A="新豐8線")*('0320 4度C'!$T:$T&lt;&gt;"")),'0320 4度C'!$T:$T)</f>
        <v>0.45416666666666666</v>
      </c>
      <c r="L17" s="79">
        <f>LOOKUP(2,1/(('0320 4度C'!$A:$A="新豐9線")*('0320 4度C'!$T:$T&lt;&gt;"")),'0320 4度C'!$T:$T)</f>
        <v>0.49791666666666656</v>
      </c>
      <c r="M17" s="80">
        <f>LOOKUP(2,1/(('0320 4度C'!$A:$A="新豐4線")*('0320 4度C'!$T:$T&lt;&gt;"")),'0320 4度C'!$T:$T)</f>
        <v>0.45694444444444438</v>
      </c>
    </row>
    <row r="18" spans="2:13" ht="17.25" customHeight="1">
      <c r="B18" s="101" t="s">
        <v>1700</v>
      </c>
      <c r="C18" s="84" t="s">
        <v>1701</v>
      </c>
      <c r="D18" s="85">
        <f>SUMIFS('0320 4度C'!$Y:$Y,'0320 4度C'!$A:$A,"新豐6線",'0320 4度C'!$B:$B,"平均")</f>
        <v>0</v>
      </c>
      <c r="E18" s="86">
        <f>SUMIFS('0320 4度C'!$Y:$Y,'0320 4度C'!$A:$A,"新豐2線",'0320 4度C'!$B:$B,"平均")</f>
        <v>0</v>
      </c>
      <c r="F18" s="86">
        <f>SUMIFS('0320 4度C'!$Y:$Y,'0320 4度C'!$A:$A,"新豐5線",'0320 4度C'!$B:$B,"平均")</f>
        <v>0</v>
      </c>
      <c r="G18" s="86">
        <f>SUMIFS('0320 4度C'!$Y:$Y,'0320 4度C'!$A:$A,"新豐7線",'0320 4度C'!$B:$B,"平均")</f>
        <v>0</v>
      </c>
      <c r="H18" s="86">
        <f>SUMIFS('0320 4度C'!$Y:$Y,'0320 4度C'!$A:$A,"新豐3線",'0320 4度C'!$B:$B,"平均")</f>
        <v>0</v>
      </c>
      <c r="I18" s="86">
        <f>SUMIFS('0320 4度C'!$Y:$Y,'0320 4度C'!$A:$A,"新豐1線",'0320 4度C'!$B:$B,"平均")</f>
        <v>0</v>
      </c>
      <c r="J18" s="87">
        <f>SUMIFS('0320 4度C'!$Y:$Y,'0320 4度C'!$A:$A,"新豐10線",'0320 4度C'!$B:$B,"平均")</f>
        <v>0</v>
      </c>
      <c r="K18" s="88">
        <f>SUMIFS('0320 4度C'!$Y:$Y,'0320 4度C'!$A:$A,"新豐8線",'0320 4度C'!$B:$B,"平均")</f>
        <v>0</v>
      </c>
      <c r="L18" s="86">
        <f>SUMIFS('0320 4度C'!$Y:$Y,'0320 4度C'!$A:$A,"新豐9線",'0320 4度C'!$B:$B,"平均")</f>
        <v>0</v>
      </c>
      <c r="M18" s="87">
        <f>SUMIFS('0320 4度C'!$Y:$Y,'0320 4度C'!$A:$A,"新豐4線",'0320 4度C'!$B:$B,"平均")</f>
        <v>0</v>
      </c>
    </row>
    <row r="19" spans="2:13" ht="17.25" customHeight="1">
      <c r="B19" s="102"/>
      <c r="C19" s="84" t="s">
        <v>1702</v>
      </c>
      <c r="D19" s="85">
        <f>SUMIFS('0320 4度C'!$Z:$Z,'0320 4度C'!$A:$A,"新豐6線",'0320 4度C'!$B:$B,"平均")</f>
        <v>0</v>
      </c>
      <c r="E19" s="86">
        <f>SUMIFS('0320 4度C'!$Z:$Z,'0320 4度C'!$A:$A,"新豐2線",'0320 4度C'!$B:$B,"平均")</f>
        <v>0</v>
      </c>
      <c r="F19" s="86">
        <f>SUMIFS('0320 4度C'!$Z:$Z,'0320 4度C'!$A:$A,"新豐5線",'0320 4度C'!$B:$B,"平均")</f>
        <v>0</v>
      </c>
      <c r="G19" s="86">
        <f>SUMIFS('0320 4度C'!$Z:$Z,'0320 4度C'!$A:$A,"新豐7線",'0320 4度C'!$B:$B,"平均")</f>
        <v>0</v>
      </c>
      <c r="H19" s="86">
        <f>SUMIFS('0320 4度C'!$Z:$Z,'0320 4度C'!$A:$A,"新豐3線",'0320 4度C'!$B:$B,"平均")</f>
        <v>0</v>
      </c>
      <c r="I19" s="86">
        <f>SUMIFS('0320 4度C'!$Z:$Z,'0320 4度C'!$A:$A,"新豐1線",'0320 4度C'!$B:$B,"平均")</f>
        <v>0</v>
      </c>
      <c r="J19" s="87">
        <f>SUMIFS('0320 4度C'!$Z:$Z,'0320 4度C'!$A:$A,"新豐10線",'0320 4度C'!$B:$B,"平均")</f>
        <v>0</v>
      </c>
      <c r="K19" s="88">
        <f>SUMIFS('0320 4度C'!$Z:$Z,'0320 4度C'!$A:$A,"新豐8線",'0320 4度C'!$B:$B,"平均")</f>
        <v>0</v>
      </c>
      <c r="L19" s="86">
        <f>SUMIFS('0320 4度C'!$Z:$Z,'0320 4度C'!$A:$A,"新豐9線",'0320 4度C'!$B:$B,"平均")</f>
        <v>0</v>
      </c>
      <c r="M19" s="87">
        <f>SUMIFS('0320 4度C'!$Z:$Z,'0320 4度C'!$A:$A,"新豐4線",'0320 4度C'!$B:$B,"平均")</f>
        <v>0</v>
      </c>
    </row>
    <row r="20" spans="2:13" ht="17.25" customHeight="1">
      <c r="B20" s="101" t="s">
        <v>1703</v>
      </c>
      <c r="C20" s="84" t="s">
        <v>1704</v>
      </c>
      <c r="D20" s="85">
        <f>SUMIFS('0320 4度C'!$AC:$AC,'0320 4度C'!$A:$A,"新豐6線",'0320 4度C'!$B:$B,"平均")</f>
        <v>4</v>
      </c>
      <c r="E20" s="86">
        <f>SUMIFS('0320 4度C'!$AC:$AC,'0320 4度C'!$A:$A,"新豐2線",'0320 4度C'!$B:$B,"平均")</f>
        <v>2</v>
      </c>
      <c r="F20" s="86">
        <f>SUMIFS('0320 4度C'!$AC:$AC,'0320 4度C'!$A:$A,"新豐5線",'0320 4度C'!$B:$B,"平均")</f>
        <v>4</v>
      </c>
      <c r="G20" s="86">
        <f>SUMIFS('0320 4度C'!$AC:$AC,'0320 4度C'!$A:$A,"新豐7線",'0320 4度C'!$B:$B,"平均")</f>
        <v>5</v>
      </c>
      <c r="H20" s="86">
        <f>SUMIFS('0320 4度C'!$AC:$AC,'0320 4度C'!$A:$A,"新豐3線",'0320 4度C'!$B:$B,"平均")</f>
        <v>7</v>
      </c>
      <c r="I20" s="86">
        <f>SUMIFS('0320 4度C'!$AC:$AC,'0320 4度C'!$A:$A,"新豐1線",'0320 4度C'!$B:$B,"平均")</f>
        <v>7</v>
      </c>
      <c r="J20" s="87">
        <f>SUMIFS('0320 4度C'!$AC:$AC,'0320 4度C'!$A:$A,"新豐10線",'0320 4度C'!$B:$B,"平均")</f>
        <v>3</v>
      </c>
      <c r="K20" s="88">
        <f>SUMIFS('0320 4度C'!$AC:$AC,'0320 4度C'!$A:$A,"新豐8線",'0320 4度C'!$B:$B,"平均")</f>
        <v>5</v>
      </c>
      <c r="L20" s="86">
        <f>SUMIFS('0320 4度C'!$AC:$AC,'0320 4度C'!$A:$A,"新豐9線",'0320 4度C'!$B:$B,"平均")</f>
        <v>5</v>
      </c>
      <c r="M20" s="87">
        <f>SUMIFS('0320 4度C'!$AC:$AC,'0320 4度C'!$A:$A,"新豐4線",'0320 4度C'!$B:$B,"平均")</f>
        <v>5</v>
      </c>
    </row>
    <row r="21" spans="2:13" ht="17.25" customHeight="1">
      <c r="B21" s="102"/>
      <c r="C21" s="84" t="s">
        <v>1705</v>
      </c>
      <c r="D21" s="85">
        <f>SUMIFS('0320 4度C'!$AD:$AD,'0320 4度C'!$A:$A,"新豐6線",'0320 4度C'!$B:$B,"平均")</f>
        <v>0</v>
      </c>
      <c r="E21" s="86">
        <f>SUMIFS('0320 4度C'!$AD:$AD,'0320 4度C'!$A:$A,"新豐2線",'0320 4度C'!$B:$B,"平均")</f>
        <v>0</v>
      </c>
      <c r="F21" s="86">
        <f>SUMIFS('0320 4度C'!$AD:$AD,'0320 4度C'!$A:$A,"新豐5線",'0320 4度C'!$B:$B,"平均")</f>
        <v>0</v>
      </c>
      <c r="G21" s="86">
        <f>SUMIFS('0320 4度C'!$AD:$AD,'0320 4度C'!$A:$A,"新豐7線",'0320 4度C'!$B:$B,"平均")</f>
        <v>0</v>
      </c>
      <c r="H21" s="86">
        <f>SUMIFS('0320 4度C'!$AD:$AD,'0320 4度C'!$A:$A,"新豐3線",'0320 4度C'!$B:$B,"平均")</f>
        <v>0</v>
      </c>
      <c r="I21" s="86">
        <f>SUMIFS('0320 4度C'!$AD:$AD,'0320 4度C'!$A:$A,"新豐1線",'0320 4度C'!$B:$B,"平均")</f>
        <v>0</v>
      </c>
      <c r="J21" s="87">
        <f>SUMIFS('0320 4度C'!$AD:$AD,'0320 4度C'!$A:$A,"新豐10線",'0320 4度C'!$B:$B,"平均")</f>
        <v>0</v>
      </c>
      <c r="K21" s="88">
        <f>SUMIFS('0320 4度C'!$AD:$AD,'0320 4度C'!$A:$A,"新豐8線",'0320 4度C'!$B:$B,"平均")</f>
        <v>0</v>
      </c>
      <c r="L21" s="86">
        <f>SUMIFS('0320 4度C'!$AD:$AD,'0320 4度C'!$A:$A,"新豐9線",'0320 4度C'!$B:$B,"平均")</f>
        <v>0</v>
      </c>
      <c r="M21" s="87">
        <f>SUMIFS('0320 4度C'!$AD:$AD,'0320 4度C'!$A:$A,"新豐4線",'0320 4度C'!$B:$B,"平均")</f>
        <v>0</v>
      </c>
    </row>
    <row r="22" spans="2:13" ht="17.25" customHeight="1">
      <c r="B22" s="103" t="s">
        <v>1706</v>
      </c>
      <c r="C22" s="104"/>
      <c r="D22" s="89">
        <f>SUMIFS('0320 4度C'!$I:$I,'0320 4度C'!$A:$A,"新豐6線",'0320 4度C'!$B:$B,"平均")</f>
        <v>18</v>
      </c>
      <c r="E22" s="90">
        <f>SUMIFS('0320 4度C'!$I:$I,'0320 4度C'!$A:$A,"新豐2線",'0320 4度C'!$B:$B,"平均")</f>
        <v>18</v>
      </c>
      <c r="F22" s="90">
        <f>SUMIFS('0320 4度C'!$I:$I,'0320 4度C'!$A:$A,"新豐5線",'0320 4度C'!$B:$B,"平均")</f>
        <v>18.25</v>
      </c>
      <c r="G22" s="90">
        <f>SUMIFS('0320 4度C'!$I:$I,'0320 4度C'!$A:$A,"新豐7線",'0320 4度C'!$B:$B,"平均")</f>
        <v>14.8</v>
      </c>
      <c r="H22" s="90">
        <f>SUMIFS('0320 4度C'!$I:$I,'0320 4度C'!$A:$A,"新豐3線",'0320 4度C'!$B:$B,"平均")</f>
        <v>9.2857142857142865</v>
      </c>
      <c r="I22" s="90">
        <f>SUMIFS('0320 4度C'!$I:$I,'0320 4度C'!$A:$A,"新豐1線",'0320 4度C'!$B:$B,"平均")</f>
        <v>18.857142857142858</v>
      </c>
      <c r="J22" s="91">
        <f>SUMIFS('0320 4度C'!$I:$I,'0320 4度C'!$A:$A,"新豐10線",'0320 4度C'!$B:$B,"平均")</f>
        <v>10.666666666666666</v>
      </c>
      <c r="K22" s="89">
        <f>SUMIFS('0320 4度C'!$I:$I,'0320 4度C'!$A:$A,"新豐8線",'0320 4度C'!$B:$B,"平均")</f>
        <v>18.399999999999999</v>
      </c>
      <c r="L22" s="90">
        <f>SUMIFS('0320 4度C'!$I:$I,'0320 4度C'!$A:$A,"新豐9線",'0320 4度C'!$B:$B,"平均")</f>
        <v>17.600000000000001</v>
      </c>
      <c r="M22" s="91">
        <f>SUMIFS('0320 4度C'!$I:$I,'0320 4度C'!$A:$A,"新豐4線",'0320 4度C'!$B:$B,"平均")</f>
        <v>15.4</v>
      </c>
    </row>
    <row r="23" spans="2:13" ht="17.25" customHeight="1">
      <c r="B23" s="103" t="s">
        <v>1707</v>
      </c>
      <c r="C23" s="104"/>
      <c r="D23" s="92" t="s">
        <v>185</v>
      </c>
      <c r="E23" s="93" t="s">
        <v>186</v>
      </c>
      <c r="F23" s="93" t="s">
        <v>1180</v>
      </c>
      <c r="G23" s="93" t="s">
        <v>1708</v>
      </c>
      <c r="H23" s="93" t="s">
        <v>188</v>
      </c>
      <c r="I23" s="93" t="s">
        <v>185</v>
      </c>
      <c r="J23" s="94" t="s">
        <v>188</v>
      </c>
      <c r="K23" s="92" t="s">
        <v>1710</v>
      </c>
      <c r="L23" s="93" t="s">
        <v>1709</v>
      </c>
      <c r="M23" s="94" t="s">
        <v>1710</v>
      </c>
    </row>
    <row r="24" spans="2:13" ht="17.25" customHeight="1">
      <c r="B24" s="103" t="s">
        <v>1711</v>
      </c>
      <c r="C24" s="104"/>
      <c r="D24" s="92"/>
      <c r="E24" s="93"/>
      <c r="F24" s="93" t="s">
        <v>1712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1713</v>
      </c>
      <c r="C25" s="106"/>
      <c r="D25" s="95"/>
      <c r="E25" s="96" t="s">
        <v>1714</v>
      </c>
      <c r="F25" s="99" t="s">
        <v>1715</v>
      </c>
      <c r="G25" s="100"/>
      <c r="H25" s="96" t="s">
        <v>1716</v>
      </c>
      <c r="I25" s="96" t="s">
        <v>1717</v>
      </c>
      <c r="J25" s="97" t="s">
        <v>1716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7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G62"/>
  <sheetViews>
    <sheetView zoomScale="80" zoomScaleNormal="80" workbookViewId="0">
      <pane ySplit="4" topLeftCell="A8" activePane="bottomLeft" state="frozen"/>
      <selection activeCell="A27" sqref="A27"/>
      <selection pane="bottomLeft" activeCell="A27" sqref="A2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1718</v>
      </c>
      <c r="B1" s="1"/>
      <c r="C1" s="2" t="s">
        <v>1719</v>
      </c>
      <c r="D1" s="3">
        <f>SUM(F5:F61)</f>
        <v>126918</v>
      </c>
      <c r="E1" s="4" t="s">
        <v>1720</v>
      </c>
      <c r="F1" s="1">
        <f>SUM(G5:G61)</f>
        <v>4221198.25</v>
      </c>
      <c r="G1" s="1" t="s">
        <v>1721</v>
      </c>
      <c r="H1" s="5">
        <f>L9+L12+L43+L51+L17+L55+L29+L35+L23+L61</f>
        <v>159.25952380952381</v>
      </c>
      <c r="I1" s="212" t="s">
        <v>1722</v>
      </c>
      <c r="J1" s="212"/>
      <c r="K1" s="212"/>
      <c r="L1" s="212" t="s">
        <v>5</v>
      </c>
      <c r="M1" s="212"/>
      <c r="N1" s="212"/>
      <c r="O1" s="212" t="s">
        <v>1723</v>
      </c>
      <c r="P1" s="212"/>
      <c r="Q1" s="212"/>
      <c r="R1" s="212"/>
      <c r="S1" s="212" t="s">
        <v>1724</v>
      </c>
      <c r="T1" s="212"/>
      <c r="U1" s="212"/>
      <c r="V1" s="212"/>
      <c r="W1" s="212"/>
      <c r="X1" s="212"/>
      <c r="Y1" s="6" t="s">
        <v>1725</v>
      </c>
      <c r="Z1" s="7" t="s">
        <v>1726</v>
      </c>
      <c r="AA1" s="213" t="s">
        <v>1727</v>
      </c>
      <c r="AB1" s="213"/>
      <c r="AC1" s="42" t="s">
        <v>1728</v>
      </c>
      <c r="AD1" s="7" t="s">
        <v>11</v>
      </c>
      <c r="AE1" s="212" t="s">
        <v>257</v>
      </c>
      <c r="AF1" s="214"/>
      <c r="AG1" s="214"/>
    </row>
    <row r="2" spans="1:33" ht="26.25" customHeight="1">
      <c r="A2" s="33">
        <v>46101</v>
      </c>
      <c r="B2" s="34" t="s">
        <v>663</v>
      </c>
      <c r="C2" s="2" t="s">
        <v>13</v>
      </c>
      <c r="D2" s="9">
        <f>AVERAGE(N9,N12,N43,N51,N17,N55,N23,N29,N35,N61)</f>
        <v>145.8853780858646</v>
      </c>
      <c r="E2" s="10" t="s">
        <v>14</v>
      </c>
      <c r="F2" s="11">
        <f>F1/D1</f>
        <v>33.259255976299656</v>
      </c>
      <c r="G2" s="1" t="s">
        <v>1729</v>
      </c>
      <c r="H2" s="12">
        <f>COUNT(H5:H61)</f>
        <v>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SUM(Y9+Y12+Y17+Y23+Y29+Y35+Y43+Y51+Y55+Y61)</f>
        <v>0</v>
      </c>
      <c r="Z2" s="13">
        <f>SUM(Z9+Z12+Z17+Z23+Z29+Z35+Z43+Z51+Z55+Z61)</f>
        <v>0</v>
      </c>
      <c r="AA2" s="213"/>
      <c r="AB2" s="213"/>
      <c r="AC2" s="13">
        <v>47</v>
      </c>
      <c r="AD2" s="13">
        <f>SUM(AD9+AD12+AD17+AD23+AD29+AD35+AD43+AD51+AD55+AD61)</f>
        <v>0</v>
      </c>
      <c r="AE2" s="214"/>
      <c r="AF2" s="214"/>
      <c r="AG2" s="214"/>
    </row>
    <row r="3" spans="1:33" ht="40.5" customHeight="1">
      <c r="A3" s="162" t="s">
        <v>1730</v>
      </c>
      <c r="B3" s="162" t="s">
        <v>1731</v>
      </c>
      <c r="C3" s="162" t="s">
        <v>1732</v>
      </c>
      <c r="D3" s="162"/>
      <c r="E3" s="210" t="s">
        <v>19</v>
      </c>
      <c r="F3" s="162" t="s">
        <v>264</v>
      </c>
      <c r="G3" s="210" t="s">
        <v>265</v>
      </c>
      <c r="H3" s="204" t="s">
        <v>1733</v>
      </c>
      <c r="I3" s="202" t="s">
        <v>1734</v>
      </c>
      <c r="J3" s="199" t="s">
        <v>1735</v>
      </c>
      <c r="K3" s="209" t="s">
        <v>1693</v>
      </c>
      <c r="L3" s="202" t="s">
        <v>1736</v>
      </c>
      <c r="M3" s="199" t="s">
        <v>1735</v>
      </c>
      <c r="N3" s="209" t="s">
        <v>1737</v>
      </c>
      <c r="O3" s="202" t="s">
        <v>1736</v>
      </c>
      <c r="P3" s="209" t="s">
        <v>1738</v>
      </c>
      <c r="Q3" s="200" t="s">
        <v>1739</v>
      </c>
      <c r="R3" s="178" t="s">
        <v>1740</v>
      </c>
      <c r="S3" s="162" t="s">
        <v>27</v>
      </c>
      <c r="T3" s="162"/>
      <c r="U3" s="204" t="s">
        <v>28</v>
      </c>
      <c r="V3" s="204" t="s">
        <v>1741</v>
      </c>
      <c r="W3" s="162" t="s">
        <v>1742</v>
      </c>
      <c r="X3" s="162"/>
      <c r="Y3" s="205" t="s">
        <v>1743</v>
      </c>
      <c r="Z3" s="166"/>
      <c r="AA3" s="206" t="s">
        <v>1744</v>
      </c>
      <c r="AB3" s="207"/>
      <c r="AC3" s="205" t="s">
        <v>1745</v>
      </c>
      <c r="AD3" s="166"/>
      <c r="AE3" s="199" t="s">
        <v>1746</v>
      </c>
      <c r="AF3" s="200" t="s">
        <v>1747</v>
      </c>
      <c r="AG3" s="178" t="s">
        <v>26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1748</v>
      </c>
      <c r="X4" s="4" t="s">
        <v>1749</v>
      </c>
      <c r="Y4" s="14" t="s">
        <v>1701</v>
      </c>
      <c r="Z4" s="14" t="s">
        <v>1750</v>
      </c>
      <c r="AA4" s="208"/>
      <c r="AB4" s="207"/>
      <c r="AC4" s="14" t="s">
        <v>1751</v>
      </c>
      <c r="AD4" s="14" t="s">
        <v>1752</v>
      </c>
      <c r="AE4" s="199"/>
      <c r="AF4" s="200"/>
      <c r="AG4" s="178"/>
    </row>
    <row r="5" spans="1:33">
      <c r="A5" s="201" t="s">
        <v>1753</v>
      </c>
      <c r="B5" s="35" t="s">
        <v>78</v>
      </c>
      <c r="C5" s="203" t="s">
        <v>79</v>
      </c>
      <c r="D5" s="203"/>
      <c r="E5" s="35">
        <v>50.67</v>
      </c>
      <c r="F5" s="4">
        <v>1273</v>
      </c>
      <c r="G5" s="4">
        <f t="shared" ref="G5:G8" si="0">E5*F5</f>
        <v>64502.91</v>
      </c>
      <c r="H5" s="21" t="s">
        <v>133</v>
      </c>
      <c r="I5" s="15">
        <v>17</v>
      </c>
      <c r="J5" s="17">
        <v>2000</v>
      </c>
      <c r="K5" s="16">
        <f t="shared" ref="K5:K61" si="1">J5/I5</f>
        <v>117.64705882352941</v>
      </c>
      <c r="L5" s="15">
        <v>17</v>
      </c>
      <c r="M5" s="17">
        <f t="shared" ref="M5:M8" si="2">F5/V5*60</f>
        <v>1909.4999999999993</v>
      </c>
      <c r="N5" s="16">
        <f t="shared" ref="N5:N61" si="3">M5/L5</f>
        <v>112.32352941176467</v>
      </c>
      <c r="O5" s="18">
        <f t="shared" ref="O5:O61" si="4">L5-I5</f>
        <v>0</v>
      </c>
      <c r="P5" s="19">
        <f t="shared" ref="P5:P61" si="5">N5-K5</f>
        <v>-5.3235294117647385</v>
      </c>
      <c r="Q5" s="20">
        <f t="shared" ref="Q5:Q61" si="6">N5/K5</f>
        <v>0.95474999999999977</v>
      </c>
      <c r="R5" s="170">
        <f>Q9</f>
        <v>0.95575969251336956</v>
      </c>
      <c r="S5" s="27">
        <v>0.70833333333333337</v>
      </c>
      <c r="T5" s="27">
        <v>0.73611111111111116</v>
      </c>
      <c r="U5" s="4"/>
      <c r="V5" s="21">
        <f t="shared" ref="V5:V8" si="7">(T5-S5)*24*60</f>
        <v>40.000000000000014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0" si="8">M5-J5</f>
        <v>-90.500000000000682</v>
      </c>
      <c r="AF5" s="20">
        <f t="shared" ref="AF5:AF61" si="9">M5/J5</f>
        <v>0.95474999999999965</v>
      </c>
      <c r="AG5" s="170">
        <f>AF9</f>
        <v>0.95575969251336956</v>
      </c>
    </row>
    <row r="6" spans="1:33">
      <c r="A6" s="202" t="s">
        <v>1754</v>
      </c>
      <c r="B6" s="35" t="s">
        <v>78</v>
      </c>
      <c r="C6" s="203" t="s">
        <v>80</v>
      </c>
      <c r="D6" s="203"/>
      <c r="E6" s="35">
        <v>54.09</v>
      </c>
      <c r="F6" s="4">
        <v>1084</v>
      </c>
      <c r="G6" s="4">
        <f t="shared" si="0"/>
        <v>58633.560000000005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1912.941176470586</v>
      </c>
      <c r="N6" s="16">
        <f t="shared" si="3"/>
        <v>100.68111455108347</v>
      </c>
      <c r="O6" s="18">
        <f t="shared" si="4"/>
        <v>0</v>
      </c>
      <c r="P6" s="19">
        <f t="shared" si="5"/>
        <v>-4.5820433436533676</v>
      </c>
      <c r="Q6" s="20">
        <f t="shared" si="6"/>
        <v>0.95647058823529296</v>
      </c>
      <c r="R6" s="170"/>
      <c r="S6" s="27">
        <v>0.7416666666666667</v>
      </c>
      <c r="T6" s="27">
        <v>0.76527777777777783</v>
      </c>
      <c r="U6" s="4">
        <f t="shared" ref="U6:U8" si="10">IF(S6=TIME(17,0,0),"",(S6-T5)*24*60)</f>
        <v>7.9999999999999716</v>
      </c>
      <c r="V6" s="21">
        <f t="shared" si="7"/>
        <v>34.000000000000043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-87.058823529413985</v>
      </c>
      <c r="AF6" s="20">
        <f t="shared" si="9"/>
        <v>0.95647058823529296</v>
      </c>
      <c r="AG6" s="170"/>
    </row>
    <row r="7" spans="1:33">
      <c r="A7" s="202" t="s">
        <v>1754</v>
      </c>
      <c r="B7" s="35" t="s">
        <v>78</v>
      </c>
      <c r="C7" s="197" t="s">
        <v>82</v>
      </c>
      <c r="D7" s="198"/>
      <c r="E7" s="35">
        <v>50.67</v>
      </c>
      <c r="F7" s="4">
        <v>348</v>
      </c>
      <c r="G7" s="4">
        <f t="shared" si="0"/>
        <v>17633.16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1898.1818181818251</v>
      </c>
      <c r="N7" s="16">
        <f t="shared" si="3"/>
        <v>90.389610389610723</v>
      </c>
      <c r="O7" s="18">
        <f t="shared" si="4"/>
        <v>0</v>
      </c>
      <c r="P7" s="19">
        <f t="shared" si="5"/>
        <v>-4.8484848484845173</v>
      </c>
      <c r="Q7" s="20">
        <f t="shared" si="6"/>
        <v>0.94909090909091254</v>
      </c>
      <c r="R7" s="170"/>
      <c r="S7" s="27">
        <v>0.77083333333333337</v>
      </c>
      <c r="T7" s="27">
        <v>0.77847222222222223</v>
      </c>
      <c r="U7" s="4">
        <f t="shared" si="10"/>
        <v>7.9999999999999716</v>
      </c>
      <c r="V7" s="21">
        <f t="shared" si="7"/>
        <v>10.999999999999961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-101.81818181817493</v>
      </c>
      <c r="AF7" s="20">
        <f t="shared" si="9"/>
        <v>0.94909090909091254</v>
      </c>
      <c r="AG7" s="170"/>
    </row>
    <row r="8" spans="1:33">
      <c r="A8" s="202" t="s">
        <v>1754</v>
      </c>
      <c r="B8" s="35" t="s">
        <v>78</v>
      </c>
      <c r="C8" s="197" t="s">
        <v>91</v>
      </c>
      <c r="D8" s="198"/>
      <c r="E8" s="35">
        <v>50.67</v>
      </c>
      <c r="F8" s="4">
        <v>1412</v>
      </c>
      <c r="G8" s="4">
        <f t="shared" si="0"/>
        <v>71546.040000000008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1925.4545454545455</v>
      </c>
      <c r="N8" s="16">
        <f t="shared" si="3"/>
        <v>128.36363636363637</v>
      </c>
      <c r="O8" s="18">
        <f t="shared" si="4"/>
        <v>0</v>
      </c>
      <c r="P8" s="19">
        <f t="shared" si="5"/>
        <v>-4.9696969696969688</v>
      </c>
      <c r="Q8" s="20">
        <f t="shared" si="6"/>
        <v>0.96272727272727276</v>
      </c>
      <c r="R8" s="170"/>
      <c r="S8" s="27">
        <v>0.78333333333333333</v>
      </c>
      <c r="T8" s="27">
        <v>0.81388888888888888</v>
      </c>
      <c r="U8" s="4">
        <f t="shared" si="10"/>
        <v>6.9999999999999751</v>
      </c>
      <c r="V8" s="21">
        <f t="shared" si="7"/>
        <v>44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-74.545454545454504</v>
      </c>
      <c r="AF8" s="20">
        <f t="shared" si="9"/>
        <v>0.96272727272727276</v>
      </c>
      <c r="AG8" s="170"/>
    </row>
    <row r="9" spans="1:33">
      <c r="A9" s="202" t="s">
        <v>1754</v>
      </c>
      <c r="B9" s="35" t="s">
        <v>1755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1911.5193850267392</v>
      </c>
      <c r="N9" s="16">
        <f t="shared" si="3"/>
        <v>106.1955213903744</v>
      </c>
      <c r="O9" s="18">
        <f t="shared" si="4"/>
        <v>0</v>
      </c>
      <c r="P9" s="19">
        <f t="shared" si="5"/>
        <v>-4.915589720736719</v>
      </c>
      <c r="Q9" s="20">
        <f t="shared" si="6"/>
        <v>0.95575969251336956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-88.480614973260799</v>
      </c>
      <c r="AF9" s="20">
        <f t="shared" si="9"/>
        <v>0.95575969251336956</v>
      </c>
      <c r="AG9" s="170"/>
    </row>
    <row r="10" spans="1:33" ht="15.75" customHeight="1">
      <c r="A10" s="196" t="s">
        <v>1756</v>
      </c>
      <c r="B10" s="35" t="s">
        <v>84</v>
      </c>
      <c r="C10" s="197" t="s">
        <v>85</v>
      </c>
      <c r="D10" s="198"/>
      <c r="E10" s="35">
        <v>39.619999999999997</v>
      </c>
      <c r="F10" s="4">
        <v>3875</v>
      </c>
      <c r="G10" s="4">
        <f t="shared" ref="G10:G11" si="11">E10*F10</f>
        <v>153527.5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1" si="12">F10/V10*60</f>
        <v>1435.1851851851852</v>
      </c>
      <c r="N10" s="16">
        <f t="shared" si="3"/>
        <v>75.536062378167642</v>
      </c>
      <c r="O10" s="18">
        <f t="shared" si="4"/>
        <v>0</v>
      </c>
      <c r="P10" s="19">
        <f t="shared" si="5"/>
        <v>-3.4113060428849877</v>
      </c>
      <c r="Q10" s="20">
        <f t="shared" si="6"/>
        <v>0.95679012345679015</v>
      </c>
      <c r="R10" s="170">
        <f>Q12</f>
        <v>0.95401044634377985</v>
      </c>
      <c r="S10" s="27">
        <v>0.20833333333333334</v>
      </c>
      <c r="T10" s="27">
        <v>0.32083333333333336</v>
      </c>
      <c r="U10" s="4"/>
      <c r="V10" s="21">
        <f t="shared" ref="V10:V11" si="13">(T10-S10)*24*60</f>
        <v>162</v>
      </c>
      <c r="W10" s="22"/>
      <c r="X10" s="22"/>
      <c r="Y10" s="22"/>
      <c r="Z10" s="22"/>
      <c r="AA10" s="162"/>
      <c r="AB10" s="162"/>
      <c r="AC10" s="24">
        <v>2</v>
      </c>
      <c r="AD10" s="24"/>
      <c r="AE10" s="18">
        <f t="shared" si="8"/>
        <v>-64.814814814814781</v>
      </c>
      <c r="AF10" s="20">
        <f t="shared" si="9"/>
        <v>0.95679012345679015</v>
      </c>
      <c r="AG10" s="170">
        <f>AF12</f>
        <v>0.95401044634377985</v>
      </c>
    </row>
    <row r="11" spans="1:33" ht="15.75" customHeight="1">
      <c r="A11" s="196" t="s">
        <v>1756</v>
      </c>
      <c r="B11" s="35" t="s">
        <v>84</v>
      </c>
      <c r="C11" s="197" t="s">
        <v>86</v>
      </c>
      <c r="D11" s="198"/>
      <c r="E11" s="35">
        <v>39.799999999999997</v>
      </c>
      <c r="F11" s="4">
        <v>6183</v>
      </c>
      <c r="G11" s="4">
        <f t="shared" si="11"/>
        <v>246083.4</v>
      </c>
      <c r="H11" s="21" t="s">
        <v>133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1426.846153846154</v>
      </c>
      <c r="N11" s="16">
        <f t="shared" si="3"/>
        <v>83.932126696832597</v>
      </c>
      <c r="O11" s="18">
        <f t="shared" si="4"/>
        <v>0</v>
      </c>
      <c r="P11" s="19">
        <f t="shared" si="5"/>
        <v>-4.3031674208144608</v>
      </c>
      <c r="Q11" s="20">
        <f t="shared" si="6"/>
        <v>0.95123076923076944</v>
      </c>
      <c r="R11" s="170"/>
      <c r="S11" s="27">
        <v>0.32430555555555557</v>
      </c>
      <c r="T11" s="27">
        <v>0.50486111111111109</v>
      </c>
      <c r="U11" s="4">
        <f t="shared" ref="U11" si="14">IF(S11=TIME(17,0,0),"",(S11-T10)*24*60)</f>
        <v>4.9999999999999822</v>
      </c>
      <c r="V11" s="21">
        <f t="shared" si="13"/>
        <v>259.99999999999994</v>
      </c>
      <c r="W11" s="22"/>
      <c r="X11" s="22"/>
      <c r="Y11" s="22"/>
      <c r="Z11" s="22"/>
      <c r="AA11" s="162"/>
      <c r="AB11" s="162"/>
      <c r="AC11" s="24"/>
      <c r="AD11" s="24"/>
      <c r="AE11" s="18">
        <f t="shared" si="8"/>
        <v>-73.153846153845961</v>
      </c>
      <c r="AF11" s="20">
        <f t="shared" si="9"/>
        <v>0.95123076923076932</v>
      </c>
      <c r="AG11" s="170"/>
    </row>
    <row r="12" spans="1:33" ht="16.5" customHeight="1">
      <c r="A12" s="196" t="s">
        <v>1756</v>
      </c>
      <c r="B12" s="35" t="s">
        <v>1757</v>
      </c>
      <c r="C12" s="171"/>
      <c r="D12" s="171"/>
      <c r="E12" s="36"/>
      <c r="F12" s="17"/>
      <c r="G12" s="17"/>
      <c r="H12" s="4"/>
      <c r="I12" s="29">
        <v>18</v>
      </c>
      <c r="J12" s="17">
        <v>1500</v>
      </c>
      <c r="K12" s="16">
        <f t="shared" si="1"/>
        <v>83.333333333333329</v>
      </c>
      <c r="L12" s="29">
        <v>18</v>
      </c>
      <c r="M12" s="17">
        <f>AVERAGE(M10:M11)</f>
        <v>1431.0156695156697</v>
      </c>
      <c r="N12" s="16">
        <f t="shared" si="3"/>
        <v>79.500870528648321</v>
      </c>
      <c r="O12" s="18">
        <f t="shared" si="4"/>
        <v>0</v>
      </c>
      <c r="P12" s="19">
        <f t="shared" si="5"/>
        <v>-3.832462804685008</v>
      </c>
      <c r="Q12" s="20">
        <f t="shared" si="6"/>
        <v>0.95401044634377985</v>
      </c>
      <c r="R12" s="170"/>
      <c r="S12" s="27"/>
      <c r="T12" s="27"/>
      <c r="U12" s="16"/>
      <c r="V12" s="21"/>
      <c r="W12" s="16"/>
      <c r="X12" s="16"/>
      <c r="Y12" s="30">
        <f>SUM(Y10:Y11)</f>
        <v>0</v>
      </c>
      <c r="Z12" s="30">
        <f>SUM(Z10:Z11)</f>
        <v>0</v>
      </c>
      <c r="AA12" s="166"/>
      <c r="AB12" s="166"/>
      <c r="AC12" s="30">
        <v>2</v>
      </c>
      <c r="AD12" s="30">
        <f>SUM(AD10:AD11)</f>
        <v>0</v>
      </c>
      <c r="AE12" s="18">
        <f t="shared" si="8"/>
        <v>-68.984330484330258</v>
      </c>
      <c r="AF12" s="20">
        <f t="shared" si="9"/>
        <v>0.95401044634377985</v>
      </c>
      <c r="AG12" s="170"/>
    </row>
    <row r="13" spans="1:33" ht="16.5" customHeight="1">
      <c r="A13" s="194" t="s">
        <v>1758</v>
      </c>
      <c r="B13" s="4" t="s">
        <v>87</v>
      </c>
      <c r="C13" s="190" t="s">
        <v>88</v>
      </c>
      <c r="D13" s="190"/>
      <c r="E13" s="35">
        <v>41</v>
      </c>
      <c r="F13" s="4">
        <v>2194</v>
      </c>
      <c r="G13" s="4">
        <f t="shared" ref="G13:G16" si="15">E13*F13</f>
        <v>89954</v>
      </c>
      <c r="H13" s="21" t="s">
        <v>133</v>
      </c>
      <c r="I13" s="15">
        <v>26</v>
      </c>
      <c r="J13" s="17">
        <v>1500</v>
      </c>
      <c r="K13" s="16">
        <f t="shared" si="1"/>
        <v>57.692307692307693</v>
      </c>
      <c r="L13" s="15">
        <v>26</v>
      </c>
      <c r="M13" s="17">
        <f t="shared" ref="M13:M16" si="16">F13/V13*60</f>
        <v>1430.8695652173908</v>
      </c>
      <c r="N13" s="16">
        <f t="shared" si="3"/>
        <v>55.033444816053489</v>
      </c>
      <c r="O13" s="18">
        <f t="shared" si="4"/>
        <v>0</v>
      </c>
      <c r="P13" s="19">
        <f t="shared" si="5"/>
        <v>-2.6588628762542044</v>
      </c>
      <c r="Q13" s="20">
        <f t="shared" si="6"/>
        <v>0.95391304347826045</v>
      </c>
      <c r="R13" s="170">
        <f>Q17</f>
        <v>0.95860215756783396</v>
      </c>
      <c r="S13" s="27">
        <v>0.20833333333333334</v>
      </c>
      <c r="T13" s="27">
        <v>0.27222222222222225</v>
      </c>
      <c r="U13" s="4"/>
      <c r="V13" s="21">
        <f t="shared" ref="V13:V16" si="17">(T13-S13)*24*60</f>
        <v>92.000000000000028</v>
      </c>
      <c r="W13" s="27"/>
      <c r="X13" s="27"/>
      <c r="Y13" s="27"/>
      <c r="Z13" s="27"/>
      <c r="AA13" s="162"/>
      <c r="AB13" s="162"/>
      <c r="AC13" s="24">
        <v>4</v>
      </c>
      <c r="AD13" s="24"/>
      <c r="AE13" s="18">
        <f t="shared" si="8"/>
        <v>-69.1304347826092</v>
      </c>
      <c r="AF13" s="20">
        <f t="shared" si="9"/>
        <v>0.95391304347826056</v>
      </c>
      <c r="AG13" s="170">
        <f>AF17</f>
        <v>0.95860215756783385</v>
      </c>
    </row>
    <row r="14" spans="1:33" ht="16.5" customHeight="1">
      <c r="A14" s="195" t="s">
        <v>1758</v>
      </c>
      <c r="B14" s="4" t="s">
        <v>78</v>
      </c>
      <c r="C14" s="190" t="s">
        <v>89</v>
      </c>
      <c r="D14" s="190"/>
      <c r="E14" s="35">
        <v>50.98</v>
      </c>
      <c r="F14" s="4">
        <v>1998</v>
      </c>
      <c r="G14" s="4">
        <f t="shared" si="15"/>
        <v>101858.04</v>
      </c>
      <c r="H14" s="21" t="s">
        <v>133</v>
      </c>
      <c r="I14" s="15">
        <v>16</v>
      </c>
      <c r="J14" s="17">
        <v>2000</v>
      </c>
      <c r="K14" s="16">
        <f t="shared" si="1"/>
        <v>125</v>
      </c>
      <c r="L14" s="15">
        <v>16</v>
      </c>
      <c r="M14" s="17">
        <f t="shared" si="16"/>
        <v>1902.8571428571449</v>
      </c>
      <c r="N14" s="16">
        <f t="shared" si="3"/>
        <v>118.92857142857156</v>
      </c>
      <c r="O14" s="18">
        <f t="shared" si="4"/>
        <v>0</v>
      </c>
      <c r="P14" s="19">
        <f t="shared" si="5"/>
        <v>-6.0714285714284415</v>
      </c>
      <c r="Q14" s="20">
        <f t="shared" si="6"/>
        <v>0.95142857142857251</v>
      </c>
      <c r="R14" s="170"/>
      <c r="S14" s="27">
        <v>0.70833333333333337</v>
      </c>
      <c r="T14" s="27">
        <v>0.75208333333333333</v>
      </c>
      <c r="U14" s="4" t="str">
        <f t="shared" ref="U14:U16" si="18">IF(S14=TIME(17,0,0),"",(S14-T13)*24*60)</f>
        <v/>
      </c>
      <c r="V14" s="21">
        <f t="shared" si="17"/>
        <v>62.999999999999936</v>
      </c>
      <c r="W14" s="22"/>
      <c r="X14" s="22"/>
      <c r="Y14" s="22"/>
      <c r="Z14" s="22"/>
      <c r="AA14" s="162"/>
      <c r="AB14" s="162"/>
      <c r="AC14" s="24"/>
      <c r="AD14" s="24"/>
      <c r="AE14" s="18">
        <f t="shared" si="8"/>
        <v>-97.142857142855064</v>
      </c>
      <c r="AF14" s="20">
        <f t="shared" si="9"/>
        <v>0.95142857142857251</v>
      </c>
      <c r="AG14" s="170"/>
    </row>
    <row r="15" spans="1:33" ht="16.5" customHeight="1">
      <c r="A15" s="195" t="s">
        <v>1759</v>
      </c>
      <c r="B15" s="4" t="s">
        <v>78</v>
      </c>
      <c r="C15" s="190" t="s">
        <v>83</v>
      </c>
      <c r="D15" s="190"/>
      <c r="E15" s="35">
        <v>50.67</v>
      </c>
      <c r="F15" s="4">
        <v>613</v>
      </c>
      <c r="G15" s="4">
        <f t="shared" si="15"/>
        <v>31060.710000000003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1935.7894736842175</v>
      </c>
      <c r="N15" s="16">
        <f t="shared" si="3"/>
        <v>120.98684210526359</v>
      </c>
      <c r="O15" s="18">
        <f t="shared" si="4"/>
        <v>0</v>
      </c>
      <c r="P15" s="19">
        <f t="shared" si="5"/>
        <v>-4.013157894736409</v>
      </c>
      <c r="Q15" s="20">
        <f t="shared" si="6"/>
        <v>0.96789473684210869</v>
      </c>
      <c r="R15" s="170"/>
      <c r="S15" s="27">
        <v>0.75763888888888886</v>
      </c>
      <c r="T15" s="27">
        <v>0.77083333333333326</v>
      </c>
      <c r="U15" s="4">
        <f t="shared" si="18"/>
        <v>7.9999999999999716</v>
      </c>
      <c r="V15" s="21">
        <f t="shared" si="17"/>
        <v>18.999999999999932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-64.210526315782545</v>
      </c>
      <c r="AF15" s="20">
        <f t="shared" si="9"/>
        <v>0.96789473684210869</v>
      </c>
      <c r="AG15" s="170"/>
    </row>
    <row r="16" spans="1:33" ht="16.5" customHeight="1">
      <c r="A16" s="195" t="s">
        <v>1759</v>
      </c>
      <c r="B16" s="4" t="s">
        <v>78</v>
      </c>
      <c r="C16" s="190" t="s">
        <v>90</v>
      </c>
      <c r="D16" s="190"/>
      <c r="E16" s="35">
        <v>50.92</v>
      </c>
      <c r="F16" s="4">
        <v>1856</v>
      </c>
      <c r="G16" s="4">
        <f t="shared" si="15"/>
        <v>94507.520000000004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1920.0000000000014</v>
      </c>
      <c r="N16" s="16">
        <f t="shared" si="3"/>
        <v>128.00000000000009</v>
      </c>
      <c r="O16" s="18">
        <f t="shared" si="4"/>
        <v>0</v>
      </c>
      <c r="P16" s="19">
        <f t="shared" si="5"/>
        <v>-5.3333333333332575</v>
      </c>
      <c r="Q16" s="20">
        <f t="shared" si="6"/>
        <v>0.96000000000000052</v>
      </c>
      <c r="R16" s="170"/>
      <c r="S16" s="27">
        <v>0.77430555555555547</v>
      </c>
      <c r="T16" s="27">
        <v>0.81458333333333321</v>
      </c>
      <c r="U16" s="4">
        <f t="shared" si="18"/>
        <v>4.9999999999999822</v>
      </c>
      <c r="V16" s="21">
        <f t="shared" si="17"/>
        <v>57.999999999999957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-79.999999999998636</v>
      </c>
      <c r="AF16" s="20">
        <f t="shared" si="9"/>
        <v>0.96000000000000063</v>
      </c>
      <c r="AG16" s="170"/>
    </row>
    <row r="17" spans="1:33" ht="16.5" customHeight="1">
      <c r="A17" s="195" t="s">
        <v>1758</v>
      </c>
      <c r="B17" s="35" t="s">
        <v>1760</v>
      </c>
      <c r="C17" s="171"/>
      <c r="D17" s="171"/>
      <c r="E17" s="36"/>
      <c r="F17" s="16"/>
      <c r="G17" s="16"/>
      <c r="H17" s="4"/>
      <c r="I17" s="29">
        <v>18.25</v>
      </c>
      <c r="J17" s="17">
        <v>1875</v>
      </c>
      <c r="K17" s="16">
        <f t="shared" si="1"/>
        <v>102.73972602739725</v>
      </c>
      <c r="L17" s="29">
        <v>18.25</v>
      </c>
      <c r="M17" s="17">
        <f>AVERAGE(M13:M16)</f>
        <v>1797.3790454396885</v>
      </c>
      <c r="N17" s="16">
        <f t="shared" si="3"/>
        <v>98.486523037791159</v>
      </c>
      <c r="O17" s="18">
        <f t="shared" si="4"/>
        <v>0</v>
      </c>
      <c r="P17" s="19">
        <f t="shared" si="5"/>
        <v>-4.2532029896060948</v>
      </c>
      <c r="Q17" s="20">
        <f t="shared" si="6"/>
        <v>0.95860215756783396</v>
      </c>
      <c r="R17" s="170"/>
      <c r="S17" s="27"/>
      <c r="T17" s="27"/>
      <c r="U17" s="4"/>
      <c r="V17" s="21"/>
      <c r="W17" s="16"/>
      <c r="X17" s="16"/>
      <c r="Y17" s="30">
        <f>SUM(Y13:Y16)</f>
        <v>0</v>
      </c>
      <c r="Z17" s="30">
        <f>SUM(Z13:Z16)</f>
        <v>0</v>
      </c>
      <c r="AA17" s="166"/>
      <c r="AB17" s="166"/>
      <c r="AC17" s="30">
        <v>4</v>
      </c>
      <c r="AD17" s="30">
        <f>SUM(AD13:AD16)</f>
        <v>0</v>
      </c>
      <c r="AE17" s="18">
        <f t="shared" si="8"/>
        <v>-77.620954560311475</v>
      </c>
      <c r="AF17" s="20">
        <f t="shared" si="9"/>
        <v>0.95860215756783385</v>
      </c>
      <c r="AG17" s="170"/>
    </row>
    <row r="18" spans="1:33" ht="15.75" customHeight="1">
      <c r="A18" s="192" t="s">
        <v>52</v>
      </c>
      <c r="B18" s="35" t="s">
        <v>78</v>
      </c>
      <c r="C18" s="190" t="s">
        <v>92</v>
      </c>
      <c r="D18" s="190"/>
      <c r="E18" s="35">
        <v>57.73</v>
      </c>
      <c r="F18" s="4">
        <v>2158</v>
      </c>
      <c r="G18" s="4">
        <f t="shared" ref="G18:G22" si="19">E18*F18</f>
        <v>124581.34</v>
      </c>
      <c r="H18" s="21" t="s">
        <v>133</v>
      </c>
      <c r="I18" s="15">
        <v>14</v>
      </c>
      <c r="J18" s="17">
        <v>2000</v>
      </c>
      <c r="K18" s="16">
        <f t="shared" si="1"/>
        <v>142.85714285714286</v>
      </c>
      <c r="L18" s="15">
        <v>14</v>
      </c>
      <c r="M18" s="17">
        <f t="shared" ref="M18:M22" si="20">F18/V18*60</f>
        <v>1904.1176470588248</v>
      </c>
      <c r="N18" s="16">
        <f t="shared" si="3"/>
        <v>136.00840336134462</v>
      </c>
      <c r="O18" s="18">
        <f t="shared" si="4"/>
        <v>0</v>
      </c>
      <c r="P18" s="19">
        <f t="shared" si="5"/>
        <v>-6.8487394957982417</v>
      </c>
      <c r="Q18" s="20">
        <f t="shared" si="6"/>
        <v>0.95205882352941229</v>
      </c>
      <c r="R18" s="170">
        <f>Q23</f>
        <v>0.95976783074873173</v>
      </c>
      <c r="S18" s="27">
        <v>0.20833333333333334</v>
      </c>
      <c r="T18" s="27">
        <v>0.25555555555555554</v>
      </c>
      <c r="U18" s="4"/>
      <c r="V18" s="21">
        <f t="shared" ref="V18:V22" si="21">(T18-S18)*24*60</f>
        <v>67.999999999999957</v>
      </c>
      <c r="W18" s="27"/>
      <c r="X18" s="27"/>
      <c r="Y18" s="27"/>
      <c r="Z18" s="27"/>
      <c r="AA18" s="162"/>
      <c r="AB18" s="162"/>
      <c r="AC18" s="24">
        <v>5</v>
      </c>
      <c r="AD18" s="24"/>
      <c r="AE18" s="18">
        <f t="shared" si="8"/>
        <v>-95.882352941175213</v>
      </c>
      <c r="AF18" s="20">
        <f t="shared" si="9"/>
        <v>0.9520588235294124</v>
      </c>
      <c r="AG18" s="170">
        <f>AF23</f>
        <v>0.95976783074873184</v>
      </c>
    </row>
    <row r="19" spans="1:33" ht="15.75" customHeight="1">
      <c r="A19" s="193" t="s">
        <v>1761</v>
      </c>
      <c r="B19" s="35" t="s">
        <v>78</v>
      </c>
      <c r="C19" s="190" t="s">
        <v>93</v>
      </c>
      <c r="D19" s="190"/>
      <c r="E19" s="35">
        <v>53.68</v>
      </c>
      <c r="F19" s="4">
        <v>1168</v>
      </c>
      <c r="G19" s="4">
        <f t="shared" si="19"/>
        <v>62698.239999999998</v>
      </c>
      <c r="H19" s="21" t="s">
        <v>133</v>
      </c>
      <c r="I19" s="15">
        <v>16</v>
      </c>
      <c r="J19" s="17">
        <v>2000</v>
      </c>
      <c r="K19" s="16">
        <f t="shared" si="1"/>
        <v>125</v>
      </c>
      <c r="L19" s="15">
        <v>16</v>
      </c>
      <c r="M19" s="17">
        <f t="shared" si="20"/>
        <v>1946.6666666666654</v>
      </c>
      <c r="N19" s="16">
        <f t="shared" si="3"/>
        <v>121.66666666666659</v>
      </c>
      <c r="O19" s="18">
        <f t="shared" si="4"/>
        <v>0</v>
      </c>
      <c r="P19" s="19">
        <f t="shared" si="5"/>
        <v>-3.3333333333334139</v>
      </c>
      <c r="Q19" s="20">
        <f t="shared" si="6"/>
        <v>0.97333333333333272</v>
      </c>
      <c r="R19" s="170"/>
      <c r="S19" s="27">
        <v>0.25972222222222219</v>
      </c>
      <c r="T19" s="27">
        <v>0.28472222222222221</v>
      </c>
      <c r="U19" s="4">
        <f t="shared" ref="U19:U22" si="22">IF(S19=TIME(17,0,0),"",(S19-T18)*24*60)</f>
        <v>5.9999999999999787</v>
      </c>
      <c r="V19" s="21">
        <f t="shared" si="21"/>
        <v>36.000000000000028</v>
      </c>
      <c r="W19" s="22"/>
      <c r="X19" s="4"/>
      <c r="Y19" s="4"/>
      <c r="Z19" s="4"/>
      <c r="AA19" s="162"/>
      <c r="AB19" s="162"/>
      <c r="AC19" s="24"/>
      <c r="AD19" s="24"/>
      <c r="AE19" s="18">
        <f t="shared" si="8"/>
        <v>-53.333333333334622</v>
      </c>
      <c r="AF19" s="20">
        <f t="shared" si="9"/>
        <v>0.97333333333333272</v>
      </c>
      <c r="AG19" s="170"/>
    </row>
    <row r="20" spans="1:33" ht="15.75" customHeight="1">
      <c r="A20" s="193" t="s">
        <v>1761</v>
      </c>
      <c r="B20" s="35" t="s">
        <v>78</v>
      </c>
      <c r="C20" s="190" t="s">
        <v>94</v>
      </c>
      <c r="D20" s="190"/>
      <c r="E20" s="35">
        <v>50.49</v>
      </c>
      <c r="F20" s="4">
        <v>1696</v>
      </c>
      <c r="G20" s="4">
        <f t="shared" si="19"/>
        <v>85631.040000000008</v>
      </c>
      <c r="H20" s="21" t="s">
        <v>133</v>
      </c>
      <c r="I20" s="15">
        <v>15</v>
      </c>
      <c r="J20" s="17">
        <v>2000</v>
      </c>
      <c r="K20" s="16">
        <f t="shared" si="1"/>
        <v>133.33333333333334</v>
      </c>
      <c r="L20" s="15">
        <v>15</v>
      </c>
      <c r="M20" s="17">
        <f t="shared" si="20"/>
        <v>1920.0000000000009</v>
      </c>
      <c r="N20" s="16">
        <f t="shared" si="3"/>
        <v>128.00000000000006</v>
      </c>
      <c r="O20" s="18">
        <f t="shared" si="4"/>
        <v>0</v>
      </c>
      <c r="P20" s="19">
        <f t="shared" si="5"/>
        <v>-5.333333333333286</v>
      </c>
      <c r="Q20" s="20">
        <f t="shared" si="6"/>
        <v>0.96000000000000041</v>
      </c>
      <c r="R20" s="170"/>
      <c r="S20" s="27">
        <v>0.70833333333333337</v>
      </c>
      <c r="T20" s="27">
        <v>0.74513888888888891</v>
      </c>
      <c r="U20" s="4" t="str">
        <f t="shared" si="22"/>
        <v/>
      </c>
      <c r="V20" s="21">
        <f t="shared" si="21"/>
        <v>52.999999999999972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-79.999999999999091</v>
      </c>
      <c r="AF20" s="20">
        <f t="shared" si="9"/>
        <v>0.96000000000000041</v>
      </c>
      <c r="AG20" s="170"/>
    </row>
    <row r="21" spans="1:33" ht="15.75" customHeight="1">
      <c r="A21" s="193" t="s">
        <v>1761</v>
      </c>
      <c r="B21" s="35" t="s">
        <v>78</v>
      </c>
      <c r="C21" s="190" t="s">
        <v>96</v>
      </c>
      <c r="D21" s="190"/>
      <c r="E21" s="35">
        <v>57.3</v>
      </c>
      <c r="F21" s="4">
        <v>1493</v>
      </c>
      <c r="G21" s="4">
        <f t="shared" si="19"/>
        <v>85548.9</v>
      </c>
      <c r="H21" s="21" t="s">
        <v>133</v>
      </c>
      <c r="I21" s="15">
        <v>13</v>
      </c>
      <c r="J21" s="17">
        <v>2000</v>
      </c>
      <c r="K21" s="16">
        <f t="shared" si="1"/>
        <v>153.84615384615384</v>
      </c>
      <c r="L21" s="15">
        <v>13</v>
      </c>
      <c r="M21" s="17">
        <f t="shared" si="20"/>
        <v>1905.9574468085109</v>
      </c>
      <c r="N21" s="16">
        <f t="shared" si="3"/>
        <v>146.61211129296237</v>
      </c>
      <c r="O21" s="18">
        <f t="shared" si="4"/>
        <v>0</v>
      </c>
      <c r="P21" s="19">
        <f t="shared" si="5"/>
        <v>-7.2340425531914718</v>
      </c>
      <c r="Q21" s="20">
        <f t="shared" si="6"/>
        <v>0.95297872340425538</v>
      </c>
      <c r="R21" s="170"/>
      <c r="S21" s="27">
        <v>0.74861111111111112</v>
      </c>
      <c r="T21" s="27">
        <v>0.78125</v>
      </c>
      <c r="U21" s="4">
        <f t="shared" si="22"/>
        <v>4.9999999999999822</v>
      </c>
      <c r="V21" s="21">
        <f t="shared" si="21"/>
        <v>46.999999999999993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-94.042553191489105</v>
      </c>
      <c r="AF21" s="20">
        <f t="shared" si="9"/>
        <v>0.95297872340425549</v>
      </c>
      <c r="AG21" s="170"/>
    </row>
    <row r="22" spans="1:33" ht="15.75" customHeight="1">
      <c r="A22" s="193" t="s">
        <v>1761</v>
      </c>
      <c r="B22" s="35" t="s">
        <v>78</v>
      </c>
      <c r="C22" s="190" t="s">
        <v>95</v>
      </c>
      <c r="D22" s="190"/>
      <c r="E22" s="35">
        <v>53.68</v>
      </c>
      <c r="F22" s="4">
        <v>1369</v>
      </c>
      <c r="G22" s="4">
        <f t="shared" si="19"/>
        <v>73487.92</v>
      </c>
      <c r="H22" s="21" t="s">
        <v>133</v>
      </c>
      <c r="I22" s="15">
        <v>16</v>
      </c>
      <c r="J22" s="17">
        <v>1500</v>
      </c>
      <c r="K22" s="16">
        <f t="shared" si="1"/>
        <v>93.75</v>
      </c>
      <c r="L22" s="15">
        <v>16</v>
      </c>
      <c r="M22" s="17">
        <f t="shared" si="20"/>
        <v>1441.0526315789484</v>
      </c>
      <c r="N22" s="16">
        <f t="shared" si="3"/>
        <v>90.065789473684276</v>
      </c>
      <c r="O22" s="18">
        <f t="shared" si="4"/>
        <v>0</v>
      </c>
      <c r="P22" s="19">
        <f t="shared" si="5"/>
        <v>-3.6842105263157237</v>
      </c>
      <c r="Q22" s="20">
        <f t="shared" si="6"/>
        <v>0.96070175438596561</v>
      </c>
      <c r="R22" s="170"/>
      <c r="S22" s="27">
        <v>0.78472222222222221</v>
      </c>
      <c r="T22" s="27">
        <v>0.82430555555555551</v>
      </c>
      <c r="U22" s="4">
        <f t="shared" si="22"/>
        <v>4.9999999999999822</v>
      </c>
      <c r="V22" s="21">
        <f t="shared" si="21"/>
        <v>56.999999999999957</v>
      </c>
      <c r="W22" s="22"/>
      <c r="X22" s="22"/>
      <c r="Y22" s="4"/>
      <c r="Z22" s="4"/>
      <c r="AA22" s="162"/>
      <c r="AB22" s="162"/>
      <c r="AC22" s="24"/>
      <c r="AD22" s="24"/>
      <c r="AE22" s="18">
        <f t="shared" si="8"/>
        <v>-58.947368421051578</v>
      </c>
      <c r="AF22" s="20">
        <f t="shared" si="9"/>
        <v>0.96070175438596561</v>
      </c>
      <c r="AG22" s="170"/>
    </row>
    <row r="23" spans="1:33" ht="15.75" customHeight="1">
      <c r="A23" s="193" t="s">
        <v>1761</v>
      </c>
      <c r="B23" s="35" t="s">
        <v>1762</v>
      </c>
      <c r="C23" s="171"/>
      <c r="D23" s="171"/>
      <c r="E23" s="36"/>
      <c r="F23" s="4"/>
      <c r="G23" s="4"/>
      <c r="H23" s="4"/>
      <c r="I23" s="29">
        <v>14.8</v>
      </c>
      <c r="J23" s="17">
        <v>1900</v>
      </c>
      <c r="K23" s="16">
        <f t="shared" si="1"/>
        <v>128.37837837837839</v>
      </c>
      <c r="L23" s="29">
        <v>14.8</v>
      </c>
      <c r="M23" s="17">
        <f>AVERAGE(M18:M22)</f>
        <v>1823.5588784225904</v>
      </c>
      <c r="N23" s="16">
        <f t="shared" si="3"/>
        <v>123.21343773125611</v>
      </c>
      <c r="O23" s="18">
        <f t="shared" si="4"/>
        <v>0</v>
      </c>
      <c r="P23" s="19">
        <f t="shared" si="5"/>
        <v>-5.164940647122279</v>
      </c>
      <c r="Q23" s="20">
        <f t="shared" si="6"/>
        <v>0.95976783074873173</v>
      </c>
      <c r="R23" s="170"/>
      <c r="S23" s="27"/>
      <c r="T23" s="27"/>
      <c r="U23" s="16"/>
      <c r="V23" s="21"/>
      <c r="W23" s="16"/>
      <c r="X23" s="16"/>
      <c r="Y23" s="30">
        <f>SUM(Y18:Y22)</f>
        <v>0</v>
      </c>
      <c r="Z23" s="30">
        <f>SUM(Z18:Z22)</f>
        <v>0</v>
      </c>
      <c r="AA23" s="166"/>
      <c r="AB23" s="166"/>
      <c r="AC23" s="30">
        <v>5</v>
      </c>
      <c r="AD23" s="30">
        <f>SUM(AD18:AD22)</f>
        <v>0</v>
      </c>
      <c r="AE23" s="18">
        <f t="shared" si="8"/>
        <v>-76.441121577409604</v>
      </c>
      <c r="AF23" s="20">
        <f t="shared" si="9"/>
        <v>0.95976783074873184</v>
      </c>
      <c r="AG23" s="170"/>
    </row>
    <row r="24" spans="1:33" ht="15.75" customHeight="1">
      <c r="A24" s="191" t="s">
        <v>1763</v>
      </c>
      <c r="B24" s="35" t="s">
        <v>97</v>
      </c>
      <c r="C24" s="190" t="s">
        <v>98</v>
      </c>
      <c r="D24" s="190"/>
      <c r="E24" s="35">
        <v>31.29</v>
      </c>
      <c r="F24" s="4">
        <v>7158</v>
      </c>
      <c r="G24" s="4">
        <f t="shared" ref="G24:G28" si="23">E24*F24</f>
        <v>223973.82</v>
      </c>
      <c r="H24" s="21" t="s">
        <v>133</v>
      </c>
      <c r="I24" s="15">
        <v>18</v>
      </c>
      <c r="J24" s="17">
        <v>2400</v>
      </c>
      <c r="K24" s="16">
        <f t="shared" si="1"/>
        <v>133.33333333333334</v>
      </c>
      <c r="L24" s="15">
        <v>18</v>
      </c>
      <c r="M24" s="17">
        <f t="shared" ref="M24:M28" si="24">F24/V24*60</f>
        <v>2296.684491978609</v>
      </c>
      <c r="N24" s="16">
        <f t="shared" si="3"/>
        <v>127.59358288770051</v>
      </c>
      <c r="O24" s="18">
        <f t="shared" si="4"/>
        <v>0</v>
      </c>
      <c r="P24" s="19">
        <f t="shared" si="5"/>
        <v>-5.7397504456328363</v>
      </c>
      <c r="Q24" s="20">
        <f t="shared" si="6"/>
        <v>0.95695187165775375</v>
      </c>
      <c r="R24" s="170">
        <f>Q29</f>
        <v>0.95551241891926897</v>
      </c>
      <c r="S24" s="27">
        <v>8.3333333333333329E-2</v>
      </c>
      <c r="T24" s="27">
        <v>0.21319444444444446</v>
      </c>
      <c r="U24" s="4"/>
      <c r="V24" s="21">
        <f t="shared" ref="V24:V28" si="25">(T24-S24)*24*60</f>
        <v>187.00000000000006</v>
      </c>
      <c r="W24" s="22">
        <f>T24</f>
        <v>0.21319444444444446</v>
      </c>
      <c r="X24" s="22">
        <f>S25</f>
        <v>0.2326388888888889</v>
      </c>
      <c r="Y24" s="22"/>
      <c r="Z24" s="22"/>
      <c r="AA24" s="162"/>
      <c r="AB24" s="162"/>
      <c r="AC24" s="24">
        <v>5</v>
      </c>
      <c r="AD24" s="24"/>
      <c r="AE24" s="18">
        <f t="shared" si="8"/>
        <v>-103.315508021391</v>
      </c>
      <c r="AF24" s="20">
        <f t="shared" si="9"/>
        <v>0.95695187165775375</v>
      </c>
      <c r="AG24" s="170">
        <f>AF29</f>
        <v>0.95551241891926886</v>
      </c>
    </row>
    <row r="25" spans="1:33" ht="15.75" customHeight="1">
      <c r="A25" s="191" t="s">
        <v>1763</v>
      </c>
      <c r="B25" s="35" t="s">
        <v>97</v>
      </c>
      <c r="C25" s="190" t="s">
        <v>99</v>
      </c>
      <c r="D25" s="190"/>
      <c r="E25" s="35">
        <v>25.98</v>
      </c>
      <c r="F25" s="4">
        <v>2524</v>
      </c>
      <c r="G25" s="4">
        <f t="shared" si="23"/>
        <v>65573.52</v>
      </c>
      <c r="H25" s="21" t="s">
        <v>133</v>
      </c>
      <c r="I25" s="15">
        <v>21</v>
      </c>
      <c r="J25" s="17">
        <v>2400</v>
      </c>
      <c r="K25" s="16">
        <f t="shared" si="1"/>
        <v>114.28571428571429</v>
      </c>
      <c r="L25" s="15">
        <v>21</v>
      </c>
      <c r="M25" s="17">
        <f t="shared" si="24"/>
        <v>2294.5454545454545</v>
      </c>
      <c r="N25" s="16">
        <f t="shared" si="3"/>
        <v>109.26406926406926</v>
      </c>
      <c r="O25" s="18">
        <f t="shared" si="4"/>
        <v>0</v>
      </c>
      <c r="P25" s="19">
        <f t="shared" si="5"/>
        <v>-5.0216450216450284</v>
      </c>
      <c r="Q25" s="20">
        <f t="shared" si="6"/>
        <v>0.95606060606060606</v>
      </c>
      <c r="R25" s="170"/>
      <c r="S25" s="27">
        <v>0.2326388888888889</v>
      </c>
      <c r="T25" s="27">
        <v>0.27847222222222223</v>
      </c>
      <c r="U25" s="4">
        <f t="shared" ref="U25:U28" si="26">(S25-T24)*24*60</f>
        <v>27.999999999999979</v>
      </c>
      <c r="V25" s="21">
        <f t="shared" si="25"/>
        <v>66</v>
      </c>
      <c r="W25" s="22"/>
      <c r="X25" s="22"/>
      <c r="Y25" s="22"/>
      <c r="Z25" s="22"/>
      <c r="AA25" s="162"/>
      <c r="AB25" s="162"/>
      <c r="AC25" s="24"/>
      <c r="AD25" s="24"/>
      <c r="AE25" s="18">
        <f t="shared" si="8"/>
        <v>-105.4545454545455</v>
      </c>
      <c r="AF25" s="20">
        <f t="shared" si="9"/>
        <v>0.95606060606060606</v>
      </c>
      <c r="AG25" s="170"/>
    </row>
    <row r="26" spans="1:33" ht="15.75" customHeight="1">
      <c r="A26" s="191" t="s">
        <v>1763</v>
      </c>
      <c r="B26" s="35" t="s">
        <v>97</v>
      </c>
      <c r="C26" s="190" t="s">
        <v>100</v>
      </c>
      <c r="D26" s="190"/>
      <c r="E26" s="35">
        <v>26.2</v>
      </c>
      <c r="F26" s="4">
        <v>4164</v>
      </c>
      <c r="G26" s="4">
        <f t="shared" si="23"/>
        <v>109096.8</v>
      </c>
      <c r="H26" s="21" t="s">
        <v>133</v>
      </c>
      <c r="I26" s="15">
        <v>20</v>
      </c>
      <c r="J26" s="17">
        <v>2400</v>
      </c>
      <c r="K26" s="16">
        <f t="shared" si="1"/>
        <v>120</v>
      </c>
      <c r="L26" s="15">
        <v>20</v>
      </c>
      <c r="M26" s="17">
        <f t="shared" si="24"/>
        <v>2292.110091743119</v>
      </c>
      <c r="N26" s="16">
        <f t="shared" si="3"/>
        <v>114.60550458715595</v>
      </c>
      <c r="O26" s="18">
        <f t="shared" si="4"/>
        <v>0</v>
      </c>
      <c r="P26" s="19">
        <f t="shared" si="5"/>
        <v>-5.3944954128440514</v>
      </c>
      <c r="Q26" s="20">
        <f t="shared" si="6"/>
        <v>0.95504587155963294</v>
      </c>
      <c r="R26" s="170"/>
      <c r="S26" s="27">
        <v>0.28194444444444444</v>
      </c>
      <c r="T26" s="27">
        <v>0.3576388888888889</v>
      </c>
      <c r="U26" s="4">
        <f t="shared" si="26"/>
        <v>4.9999999999999822</v>
      </c>
      <c r="V26" s="21">
        <f t="shared" si="25"/>
        <v>109.00000000000001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-107.88990825688097</v>
      </c>
      <c r="AF26" s="20">
        <f t="shared" si="9"/>
        <v>0.95504587155963294</v>
      </c>
      <c r="AG26" s="170"/>
    </row>
    <row r="27" spans="1:33" ht="15.75" customHeight="1">
      <c r="A27" s="191" t="s">
        <v>1763</v>
      </c>
      <c r="B27" s="35" t="s">
        <v>97</v>
      </c>
      <c r="C27" s="190" t="s">
        <v>101</v>
      </c>
      <c r="D27" s="190"/>
      <c r="E27" s="35">
        <v>25.99</v>
      </c>
      <c r="F27" s="4">
        <v>3401</v>
      </c>
      <c r="G27" s="4">
        <f t="shared" si="23"/>
        <v>88391.989999999991</v>
      </c>
      <c r="H27" s="21" t="s">
        <v>133</v>
      </c>
      <c r="I27" s="15">
        <v>14</v>
      </c>
      <c r="J27" s="17">
        <v>2400</v>
      </c>
      <c r="K27" s="16">
        <f t="shared" si="1"/>
        <v>171.42857142857142</v>
      </c>
      <c r="L27" s="15">
        <v>14</v>
      </c>
      <c r="M27" s="17">
        <f t="shared" si="24"/>
        <v>2292.8089887640449</v>
      </c>
      <c r="N27" s="16">
        <f t="shared" si="3"/>
        <v>163.7720706260032</v>
      </c>
      <c r="O27" s="18">
        <f t="shared" si="4"/>
        <v>0</v>
      </c>
      <c r="P27" s="19">
        <f t="shared" si="5"/>
        <v>-7.6565008025682175</v>
      </c>
      <c r="Q27" s="20">
        <f t="shared" si="6"/>
        <v>0.95533707865168538</v>
      </c>
      <c r="R27" s="170"/>
      <c r="S27" s="27">
        <v>0.36249999999999999</v>
      </c>
      <c r="T27" s="27">
        <v>0.42430555555555555</v>
      </c>
      <c r="U27" s="4">
        <f t="shared" si="26"/>
        <v>6.9999999999999751</v>
      </c>
      <c r="V27" s="21">
        <f t="shared" si="25"/>
        <v>89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-107.1910112359551</v>
      </c>
      <c r="AF27" s="20">
        <f t="shared" si="9"/>
        <v>0.95533707865168538</v>
      </c>
      <c r="AG27" s="170"/>
    </row>
    <row r="28" spans="1:33" ht="15.75" customHeight="1">
      <c r="A28" s="191" t="s">
        <v>1763</v>
      </c>
      <c r="B28" s="35" t="s">
        <v>97</v>
      </c>
      <c r="C28" s="190" t="s">
        <v>102</v>
      </c>
      <c r="D28" s="190"/>
      <c r="E28" s="35">
        <v>26.18</v>
      </c>
      <c r="F28" s="4">
        <v>1374</v>
      </c>
      <c r="G28" s="4">
        <f t="shared" si="23"/>
        <v>35971.32</v>
      </c>
      <c r="H28" s="21" t="s">
        <v>133</v>
      </c>
      <c r="I28" s="15">
        <v>19</v>
      </c>
      <c r="J28" s="17">
        <v>2400</v>
      </c>
      <c r="K28" s="16">
        <f t="shared" si="1"/>
        <v>126.31578947368421</v>
      </c>
      <c r="L28" s="15">
        <v>19</v>
      </c>
      <c r="M28" s="17">
        <f t="shared" si="24"/>
        <v>2289.9999999999982</v>
      </c>
      <c r="N28" s="16">
        <f t="shared" si="3"/>
        <v>120.52631578947359</v>
      </c>
      <c r="O28" s="18">
        <f t="shared" si="4"/>
        <v>0</v>
      </c>
      <c r="P28" s="19">
        <f t="shared" si="5"/>
        <v>-5.7894736842106198</v>
      </c>
      <c r="Q28" s="20">
        <f t="shared" si="6"/>
        <v>0.95416666666666594</v>
      </c>
      <c r="R28" s="170"/>
      <c r="S28" s="27">
        <v>0.42916666666666664</v>
      </c>
      <c r="T28" s="27">
        <v>0.45416666666666666</v>
      </c>
      <c r="U28" s="4">
        <f t="shared" si="26"/>
        <v>6.9999999999999751</v>
      </c>
      <c r="V28" s="21">
        <f t="shared" si="25"/>
        <v>36.000000000000028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-110.00000000000182</v>
      </c>
      <c r="AF28" s="20">
        <f t="shared" si="9"/>
        <v>0.95416666666666594</v>
      </c>
      <c r="AG28" s="170"/>
    </row>
    <row r="29" spans="1:33" ht="15.75" customHeight="1">
      <c r="A29" s="191" t="s">
        <v>1763</v>
      </c>
      <c r="B29" s="35" t="s">
        <v>1757</v>
      </c>
      <c r="C29" s="171"/>
      <c r="D29" s="171"/>
      <c r="E29" s="36"/>
      <c r="F29" s="4"/>
      <c r="G29" s="4"/>
      <c r="H29" s="4"/>
      <c r="I29" s="29">
        <v>18.399999999999999</v>
      </c>
      <c r="J29" s="17">
        <v>2400</v>
      </c>
      <c r="K29" s="16">
        <f t="shared" si="1"/>
        <v>130.43478260869566</v>
      </c>
      <c r="L29" s="29">
        <v>18.399999999999999</v>
      </c>
      <c r="M29" s="17">
        <f>AVERAGE(M24:M28)</f>
        <v>2293.2298054062453</v>
      </c>
      <c r="N29" s="16">
        <f t="shared" si="3"/>
        <v>124.63205464164378</v>
      </c>
      <c r="O29" s="18">
        <f t="shared" si="4"/>
        <v>0</v>
      </c>
      <c r="P29" s="19">
        <f t="shared" si="5"/>
        <v>-5.8027279670518794</v>
      </c>
      <c r="Q29" s="20">
        <f t="shared" si="6"/>
        <v>0.95551241891926897</v>
      </c>
      <c r="R29" s="170"/>
      <c r="S29" s="27"/>
      <c r="T29" s="27"/>
      <c r="U29" s="4"/>
      <c r="V29" s="21"/>
      <c r="W29" s="4"/>
      <c r="X29" s="4"/>
      <c r="Y29" s="30">
        <f>SUM(Y24:Y28)</f>
        <v>0</v>
      </c>
      <c r="Z29" s="30">
        <f>SUM(Z24:Z28)</f>
        <v>0</v>
      </c>
      <c r="AA29" s="166"/>
      <c r="AB29" s="166"/>
      <c r="AC29" s="30">
        <v>5</v>
      </c>
      <c r="AD29" s="30">
        <f>SUM(AD24:AD28)</f>
        <v>0</v>
      </c>
      <c r="AE29" s="18">
        <f t="shared" si="8"/>
        <v>-106.7701945937547</v>
      </c>
      <c r="AF29" s="20">
        <f t="shared" si="9"/>
        <v>0.95551241891926886</v>
      </c>
      <c r="AG29" s="170"/>
    </row>
    <row r="30" spans="1:33" ht="15.75" customHeight="1">
      <c r="A30" s="188" t="s">
        <v>1764</v>
      </c>
      <c r="B30" s="35" t="s">
        <v>97</v>
      </c>
      <c r="C30" s="163" t="s">
        <v>103</v>
      </c>
      <c r="D30" s="163"/>
      <c r="E30" s="35">
        <v>26.2</v>
      </c>
      <c r="F30" s="4">
        <v>5899</v>
      </c>
      <c r="G30" s="4">
        <f t="shared" ref="G30:G34" si="27">E30*F30</f>
        <v>154553.79999999999</v>
      </c>
      <c r="H30" s="21" t="s">
        <v>133</v>
      </c>
      <c r="I30" s="15">
        <v>18</v>
      </c>
      <c r="J30" s="17">
        <v>2400</v>
      </c>
      <c r="K30" s="16">
        <f t="shared" si="1"/>
        <v>133.33333333333334</v>
      </c>
      <c r="L30" s="15">
        <v>18</v>
      </c>
      <c r="M30" s="17">
        <f t="shared" ref="M30:M34" si="28">F30/V30*60</f>
        <v>2298.3116883116882</v>
      </c>
      <c r="N30" s="16">
        <f t="shared" si="3"/>
        <v>127.68398268398268</v>
      </c>
      <c r="O30" s="18">
        <f t="shared" si="4"/>
        <v>0</v>
      </c>
      <c r="P30" s="19">
        <f t="shared" si="5"/>
        <v>-5.6493506493506658</v>
      </c>
      <c r="Q30" s="20">
        <f t="shared" si="6"/>
        <v>0.95762987012987</v>
      </c>
      <c r="R30" s="170">
        <f>Q35</f>
        <v>0.95526764986302726</v>
      </c>
      <c r="S30" s="27">
        <v>8.3333333333333329E-2</v>
      </c>
      <c r="T30" s="27">
        <v>0.19027777777777777</v>
      </c>
      <c r="U30" s="4"/>
      <c r="V30" s="21">
        <f t="shared" ref="V30:V34" si="29">(T30-S30)*24*60</f>
        <v>154</v>
      </c>
      <c r="W30" s="27">
        <f>T30</f>
        <v>0.19027777777777777</v>
      </c>
      <c r="X30" s="27">
        <f>S31</f>
        <v>0.20902777777777776</v>
      </c>
      <c r="Y30" s="27"/>
      <c r="Z30" s="27"/>
      <c r="AA30" s="162"/>
      <c r="AB30" s="162"/>
      <c r="AC30" s="24">
        <v>5</v>
      </c>
      <c r="AD30" s="24"/>
      <c r="AE30" s="18">
        <f t="shared" si="8"/>
        <v>-101.68831168831184</v>
      </c>
      <c r="AF30" s="20">
        <f t="shared" si="9"/>
        <v>0.95762987012987011</v>
      </c>
      <c r="AG30" s="170">
        <f>AF35</f>
        <v>0.95526764986302715</v>
      </c>
    </row>
    <row r="31" spans="1:33" ht="15.75" customHeight="1">
      <c r="A31" s="188" t="s">
        <v>1764</v>
      </c>
      <c r="B31" s="35" t="s">
        <v>97</v>
      </c>
      <c r="C31" s="163" t="s">
        <v>104</v>
      </c>
      <c r="D31" s="163"/>
      <c r="E31" s="35">
        <v>20.52</v>
      </c>
      <c r="F31" s="4">
        <v>2895</v>
      </c>
      <c r="G31" s="4">
        <f t="shared" si="27"/>
        <v>59405.4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8"/>
        <v>2285.5263157894747</v>
      </c>
      <c r="N31" s="16">
        <f t="shared" si="3"/>
        <v>126.97368421052637</v>
      </c>
      <c r="O31" s="18">
        <f t="shared" si="4"/>
        <v>0</v>
      </c>
      <c r="P31" s="19">
        <f t="shared" si="5"/>
        <v>-6.3596491228069709</v>
      </c>
      <c r="Q31" s="20">
        <f t="shared" si="6"/>
        <v>0.95230263157894768</v>
      </c>
      <c r="R31" s="170"/>
      <c r="S31" s="27">
        <v>0.20902777777777776</v>
      </c>
      <c r="T31" s="27">
        <v>0.26180555555555551</v>
      </c>
      <c r="U31" s="4">
        <f t="shared" ref="U31:U34" si="30">(S31-T30)*24*60</f>
        <v>26.999999999999986</v>
      </c>
      <c r="V31" s="21">
        <f t="shared" si="29"/>
        <v>75.999999999999972</v>
      </c>
      <c r="W31" s="4"/>
      <c r="X31" s="4"/>
      <c r="Y31" s="4"/>
      <c r="Z31" s="4"/>
      <c r="AA31" s="162"/>
      <c r="AB31" s="162"/>
      <c r="AC31" s="24"/>
      <c r="AD31" s="24"/>
      <c r="AE31" s="18">
        <f t="shared" si="8"/>
        <v>-114.47368421052533</v>
      </c>
      <c r="AF31" s="20">
        <f t="shared" si="9"/>
        <v>0.95230263157894779</v>
      </c>
      <c r="AG31" s="170"/>
    </row>
    <row r="32" spans="1:33">
      <c r="A32" s="189" t="s">
        <v>1764</v>
      </c>
      <c r="B32" s="35" t="s">
        <v>97</v>
      </c>
      <c r="C32" s="163" t="s">
        <v>105</v>
      </c>
      <c r="D32" s="163"/>
      <c r="E32" s="35">
        <v>26.39</v>
      </c>
      <c r="F32" s="4">
        <v>4567</v>
      </c>
      <c r="G32" s="4">
        <f t="shared" si="27"/>
        <v>120523.13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8"/>
        <v>2302.6890756302528</v>
      </c>
      <c r="N32" s="16">
        <f t="shared" si="3"/>
        <v>121.19416187527646</v>
      </c>
      <c r="O32" s="18">
        <f t="shared" si="4"/>
        <v>0</v>
      </c>
      <c r="P32" s="19">
        <f t="shared" si="5"/>
        <v>-5.1216275984077413</v>
      </c>
      <c r="Q32" s="20">
        <f t="shared" si="6"/>
        <v>0.95945378151260541</v>
      </c>
      <c r="R32" s="170"/>
      <c r="S32" s="27">
        <v>0.26666666666666661</v>
      </c>
      <c r="T32" s="27">
        <v>0.34930555555555548</v>
      </c>
      <c r="U32" s="4">
        <f t="shared" si="30"/>
        <v>6.9999999999999751</v>
      </c>
      <c r="V32" s="21">
        <f t="shared" si="29"/>
        <v>118.99999999999997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-97.310924369747227</v>
      </c>
      <c r="AF32" s="20">
        <f t="shared" si="9"/>
        <v>0.9594537815126053</v>
      </c>
      <c r="AG32" s="170"/>
    </row>
    <row r="33" spans="1:33">
      <c r="A33" s="189" t="s">
        <v>1764</v>
      </c>
      <c r="B33" s="35" t="s">
        <v>97</v>
      </c>
      <c r="C33" s="163" t="s">
        <v>107</v>
      </c>
      <c r="D33" s="163"/>
      <c r="E33" s="35">
        <v>20.52</v>
      </c>
      <c r="F33" s="4">
        <v>2366</v>
      </c>
      <c r="G33" s="4">
        <f t="shared" si="27"/>
        <v>48550.32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si="28"/>
        <v>2289.6774193548381</v>
      </c>
      <c r="N33" s="16">
        <f t="shared" si="3"/>
        <v>127.20430107526879</v>
      </c>
      <c r="O33" s="18">
        <f t="shared" si="4"/>
        <v>0</v>
      </c>
      <c r="P33" s="19">
        <f t="shared" si="5"/>
        <v>-6.1290322580645551</v>
      </c>
      <c r="Q33" s="20">
        <f t="shared" si="6"/>
        <v>0.95403225806451586</v>
      </c>
      <c r="R33" s="170"/>
      <c r="S33" s="27">
        <v>0.35486111111111102</v>
      </c>
      <c r="T33" s="27">
        <v>0.39791666666666659</v>
      </c>
      <c r="U33" s="4">
        <f t="shared" si="30"/>
        <v>7.9999999999999716</v>
      </c>
      <c r="V33" s="21">
        <f t="shared" si="29"/>
        <v>62.000000000000021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-110.32258064516191</v>
      </c>
      <c r="AF33" s="20">
        <f t="shared" si="9"/>
        <v>0.95403225806451586</v>
      </c>
      <c r="AG33" s="170"/>
    </row>
    <row r="34" spans="1:33">
      <c r="A34" s="189" t="s">
        <v>1764</v>
      </c>
      <c r="B34" s="35" t="s">
        <v>97</v>
      </c>
      <c r="C34" s="163" t="s">
        <v>304</v>
      </c>
      <c r="D34" s="163"/>
      <c r="E34" s="35">
        <v>22.69</v>
      </c>
      <c r="F34" s="4">
        <v>5222</v>
      </c>
      <c r="G34" s="4">
        <f t="shared" si="27"/>
        <v>118487.18000000001</v>
      </c>
      <c r="H34" s="21" t="s">
        <v>133</v>
      </c>
      <c r="I34" s="15">
        <v>15</v>
      </c>
      <c r="J34" s="17">
        <v>2400</v>
      </c>
      <c r="K34" s="16">
        <f t="shared" si="1"/>
        <v>160</v>
      </c>
      <c r="L34" s="15">
        <v>15</v>
      </c>
      <c r="M34" s="17">
        <f t="shared" si="28"/>
        <v>2287.007299270073</v>
      </c>
      <c r="N34" s="16">
        <f t="shared" si="3"/>
        <v>152.46715328467153</v>
      </c>
      <c r="O34" s="18">
        <f t="shared" si="4"/>
        <v>0</v>
      </c>
      <c r="P34" s="19">
        <f t="shared" si="5"/>
        <v>-7.5328467153284748</v>
      </c>
      <c r="Q34" s="20">
        <f t="shared" si="6"/>
        <v>0.95291970802919701</v>
      </c>
      <c r="R34" s="170"/>
      <c r="S34" s="27">
        <v>0.40277777777777768</v>
      </c>
      <c r="T34" s="27">
        <v>0.49791666666666656</v>
      </c>
      <c r="U34" s="4">
        <f t="shared" si="30"/>
        <v>6.9999999999999751</v>
      </c>
      <c r="V34" s="21">
        <f t="shared" si="29"/>
        <v>137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-112.99270072992704</v>
      </c>
      <c r="AF34" s="20">
        <f t="shared" si="9"/>
        <v>0.95291970802919712</v>
      </c>
      <c r="AG34" s="170"/>
    </row>
    <row r="35" spans="1:33">
      <c r="A35" s="189" t="s">
        <v>1764</v>
      </c>
      <c r="B35" s="16" t="s">
        <v>1757</v>
      </c>
      <c r="C35" s="171"/>
      <c r="D35" s="171"/>
      <c r="E35" s="36"/>
      <c r="F35" s="16"/>
      <c r="G35" s="16"/>
      <c r="H35" s="4"/>
      <c r="I35" s="29">
        <v>17.600000000000001</v>
      </c>
      <c r="J35" s="17">
        <v>2400</v>
      </c>
      <c r="K35" s="16">
        <f t="shared" si="1"/>
        <v>136.36363636363635</v>
      </c>
      <c r="L35" s="29">
        <v>17.600000000000001</v>
      </c>
      <c r="M35" s="17">
        <f>AVERAGE(M30:M34)</f>
        <v>2292.6423596712652</v>
      </c>
      <c r="N35" s="16">
        <f t="shared" si="3"/>
        <v>130.26377043586734</v>
      </c>
      <c r="O35" s="18">
        <f t="shared" si="4"/>
        <v>0</v>
      </c>
      <c r="P35" s="19">
        <f t="shared" si="5"/>
        <v>-6.0998659277690024</v>
      </c>
      <c r="Q35" s="20">
        <f t="shared" si="6"/>
        <v>0.95526764986302726</v>
      </c>
      <c r="R35" s="170"/>
      <c r="S35" s="27"/>
      <c r="T35" s="27"/>
      <c r="U35" s="16"/>
      <c r="V35" s="21"/>
      <c r="W35" s="16"/>
      <c r="X35" s="16"/>
      <c r="Y35" s="30">
        <f>SUM(Y30:Y34)</f>
        <v>0</v>
      </c>
      <c r="Z35" s="30">
        <f>SUM(Z30:Z34)</f>
        <v>0</v>
      </c>
      <c r="AA35" s="166"/>
      <c r="AB35" s="166"/>
      <c r="AC35" s="30">
        <v>5</v>
      </c>
      <c r="AD35" s="30">
        <f>SUM(AD30:AD34)</f>
        <v>0</v>
      </c>
      <c r="AE35" s="18">
        <f t="shared" si="8"/>
        <v>-107.35764032873476</v>
      </c>
      <c r="AF35" s="20">
        <f t="shared" si="9"/>
        <v>0.95526764986302715</v>
      </c>
      <c r="AG35" s="170"/>
    </row>
    <row r="36" spans="1:33" ht="15.75" customHeight="1">
      <c r="A36" s="182" t="s">
        <v>1765</v>
      </c>
      <c r="B36" s="35" t="s">
        <v>108</v>
      </c>
      <c r="C36" s="174" t="s">
        <v>1514</v>
      </c>
      <c r="D36" s="175"/>
      <c r="E36" s="35">
        <v>34.35</v>
      </c>
      <c r="F36" s="4">
        <v>3652</v>
      </c>
      <c r="G36" s="4">
        <f t="shared" ref="G36:G42" si="31">E36*F36</f>
        <v>125446.20000000001</v>
      </c>
      <c r="H36" s="21" t="s">
        <v>133</v>
      </c>
      <c r="I36" s="15">
        <v>8</v>
      </c>
      <c r="J36" s="17">
        <v>3000</v>
      </c>
      <c r="K36" s="16">
        <f t="shared" si="1"/>
        <v>375</v>
      </c>
      <c r="L36" s="15">
        <v>8</v>
      </c>
      <c r="M36" s="17">
        <f t="shared" ref="M36:M42" si="32">F36/V36*60</f>
        <v>2883.1578947368421</v>
      </c>
      <c r="N36" s="17">
        <f t="shared" si="3"/>
        <v>360.39473684210526</v>
      </c>
      <c r="O36" s="18">
        <f t="shared" si="4"/>
        <v>0</v>
      </c>
      <c r="P36" s="19">
        <f t="shared" si="5"/>
        <v>-14.60526315789474</v>
      </c>
      <c r="Q36" s="20">
        <f t="shared" si="6"/>
        <v>0.96105263157894738</v>
      </c>
      <c r="R36" s="185">
        <f>Q43</f>
        <v>0.95804135546056246</v>
      </c>
      <c r="S36" s="27">
        <v>8.3333333333333329E-2</v>
      </c>
      <c r="T36" s="27">
        <v>0.1361111111111111</v>
      </c>
      <c r="U36" s="27"/>
      <c r="V36" s="21">
        <f t="shared" ref="V36:V42" si="33">(T36-S36)*24*60</f>
        <v>76</v>
      </c>
      <c r="W36" s="22"/>
      <c r="X36" s="22"/>
      <c r="Y36" s="25"/>
      <c r="Z36" s="25"/>
      <c r="AA36" s="176"/>
      <c r="AB36" s="177"/>
      <c r="AC36" s="24">
        <v>7</v>
      </c>
      <c r="AD36" s="24"/>
      <c r="AE36" s="18">
        <f t="shared" si="8"/>
        <v>-116.84210526315792</v>
      </c>
      <c r="AF36" s="20">
        <f t="shared" si="9"/>
        <v>0.96105263157894738</v>
      </c>
      <c r="AG36" s="185">
        <f>AF43</f>
        <v>0.95804135546056246</v>
      </c>
    </row>
    <row r="37" spans="1:33" ht="15.75" customHeight="1">
      <c r="A37" s="183" t="s">
        <v>1765</v>
      </c>
      <c r="B37" s="35" t="s">
        <v>108</v>
      </c>
      <c r="C37" s="174" t="s">
        <v>109</v>
      </c>
      <c r="D37" s="175"/>
      <c r="E37" s="35">
        <v>34.36</v>
      </c>
      <c r="F37" s="4">
        <v>1490</v>
      </c>
      <c r="G37" s="4">
        <f t="shared" si="31"/>
        <v>51196.4</v>
      </c>
      <c r="H37" s="21" t="s">
        <v>133</v>
      </c>
      <c r="I37" s="15">
        <v>10</v>
      </c>
      <c r="J37" s="17">
        <v>3000</v>
      </c>
      <c r="K37" s="16">
        <f t="shared" si="1"/>
        <v>300</v>
      </c>
      <c r="L37" s="15">
        <v>10</v>
      </c>
      <c r="M37" s="17">
        <f t="shared" si="32"/>
        <v>2883.8709677419347</v>
      </c>
      <c r="N37" s="17">
        <f t="shared" si="3"/>
        <v>288.38709677419348</v>
      </c>
      <c r="O37" s="18">
        <f t="shared" si="4"/>
        <v>0</v>
      </c>
      <c r="P37" s="19">
        <f t="shared" si="5"/>
        <v>-11.612903225806519</v>
      </c>
      <c r="Q37" s="20">
        <f t="shared" si="6"/>
        <v>0.96129032258064495</v>
      </c>
      <c r="R37" s="186"/>
      <c r="S37" s="27">
        <v>0.14027777777777778</v>
      </c>
      <c r="T37" s="27">
        <v>0.16180555555555556</v>
      </c>
      <c r="U37" s="4">
        <f t="shared" ref="U37:U42" si="34">(S37-T36)*24*60</f>
        <v>6.0000000000000187</v>
      </c>
      <c r="V37" s="21">
        <f t="shared" si="33"/>
        <v>31.000000000000011</v>
      </c>
      <c r="W37" s="22">
        <f>T37</f>
        <v>0.16180555555555556</v>
      </c>
      <c r="X37" s="22">
        <f>S38</f>
        <v>0.18124999999999999</v>
      </c>
      <c r="Y37" s="25"/>
      <c r="Z37" s="25"/>
      <c r="AA37" s="176"/>
      <c r="AB37" s="177"/>
      <c r="AC37" s="24"/>
      <c r="AD37" s="24"/>
      <c r="AE37" s="18">
        <f t="shared" si="8"/>
        <v>-116.12903225806531</v>
      </c>
      <c r="AF37" s="20">
        <f t="shared" si="9"/>
        <v>0.96129032258064495</v>
      </c>
      <c r="AG37" s="186"/>
    </row>
    <row r="38" spans="1:33" ht="15.75" customHeight="1">
      <c r="A38" s="183" t="s">
        <v>1765</v>
      </c>
      <c r="B38" s="35" t="s">
        <v>108</v>
      </c>
      <c r="C38" s="174" t="s">
        <v>110</v>
      </c>
      <c r="D38" s="175"/>
      <c r="E38" s="35">
        <v>26.78</v>
      </c>
      <c r="F38" s="4">
        <v>2102</v>
      </c>
      <c r="G38" s="4">
        <f t="shared" si="31"/>
        <v>56291.560000000005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si="32"/>
        <v>2866.3636363636365</v>
      </c>
      <c r="N38" s="17">
        <f t="shared" si="3"/>
        <v>286.63636363636363</v>
      </c>
      <c r="O38" s="18">
        <f t="shared" si="4"/>
        <v>0</v>
      </c>
      <c r="P38" s="19">
        <f t="shared" si="5"/>
        <v>-13.363636363636374</v>
      </c>
      <c r="Q38" s="20">
        <f t="shared" si="6"/>
        <v>0.95545454545454545</v>
      </c>
      <c r="R38" s="186"/>
      <c r="S38" s="27">
        <v>0.18124999999999999</v>
      </c>
      <c r="T38" s="27">
        <v>0.21180555555555555</v>
      </c>
      <c r="U38" s="4">
        <f t="shared" si="34"/>
        <v>27.999999999999979</v>
      </c>
      <c r="V38" s="21">
        <f t="shared" si="33"/>
        <v>44</v>
      </c>
      <c r="W38" s="22"/>
      <c r="X38" s="22"/>
      <c r="Y38" s="25"/>
      <c r="Z38" s="25"/>
      <c r="AA38" s="176"/>
      <c r="AB38" s="177"/>
      <c r="AC38" s="24"/>
      <c r="AD38" s="24"/>
      <c r="AE38" s="18">
        <f t="shared" si="8"/>
        <v>-133.63636363636351</v>
      </c>
      <c r="AF38" s="20">
        <f t="shared" si="9"/>
        <v>0.95545454545454545</v>
      </c>
      <c r="AG38" s="186"/>
    </row>
    <row r="39" spans="1:33" ht="15.75" customHeight="1">
      <c r="A39" s="183" t="s">
        <v>1765</v>
      </c>
      <c r="B39" s="35" t="s">
        <v>108</v>
      </c>
      <c r="C39" s="174" t="s">
        <v>111</v>
      </c>
      <c r="D39" s="175"/>
      <c r="E39" s="35">
        <v>21.13</v>
      </c>
      <c r="F39" s="4">
        <v>4426</v>
      </c>
      <c r="G39" s="4">
        <f t="shared" si="31"/>
        <v>93521.37999999999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2855.483870967741</v>
      </c>
      <c r="N39" s="17">
        <f t="shared" si="3"/>
        <v>285.54838709677409</v>
      </c>
      <c r="O39" s="18">
        <f t="shared" si="4"/>
        <v>0</v>
      </c>
      <c r="P39" s="19">
        <f t="shared" si="5"/>
        <v>-14.451612903225907</v>
      </c>
      <c r="Q39" s="20">
        <f t="shared" si="6"/>
        <v>0.95182795698924694</v>
      </c>
      <c r="R39" s="186"/>
      <c r="S39" s="27">
        <v>0.21527777777777776</v>
      </c>
      <c r="T39" s="27">
        <v>0.27986111111111112</v>
      </c>
      <c r="U39" s="4">
        <f t="shared" si="34"/>
        <v>4.9999999999999822</v>
      </c>
      <c r="V39" s="21">
        <f t="shared" si="33"/>
        <v>93.000000000000028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-144.51612903225896</v>
      </c>
      <c r="AF39" s="20">
        <f t="shared" si="9"/>
        <v>0.95182795698924705</v>
      </c>
      <c r="AG39" s="186"/>
    </row>
    <row r="40" spans="1:33" ht="15.75" customHeight="1">
      <c r="A40" s="183" t="s">
        <v>1765</v>
      </c>
      <c r="B40" s="35" t="s">
        <v>108</v>
      </c>
      <c r="C40" s="174" t="s">
        <v>112</v>
      </c>
      <c r="D40" s="175"/>
      <c r="E40" s="35">
        <v>27.17</v>
      </c>
      <c r="F40" s="4">
        <v>5513</v>
      </c>
      <c r="G40" s="4">
        <f t="shared" si="31"/>
        <v>149788.21000000002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2876.347826086957</v>
      </c>
      <c r="N40" s="17">
        <f t="shared" si="3"/>
        <v>287.63478260869567</v>
      </c>
      <c r="O40" s="18">
        <f t="shared" si="4"/>
        <v>0</v>
      </c>
      <c r="P40" s="19">
        <f t="shared" si="5"/>
        <v>-12.365217391304327</v>
      </c>
      <c r="Q40" s="20">
        <f t="shared" si="6"/>
        <v>0.95878260869565224</v>
      </c>
      <c r="R40" s="186"/>
      <c r="S40" s="27">
        <v>0.28402777777777777</v>
      </c>
      <c r="T40" s="27">
        <v>0.36388888888888887</v>
      </c>
      <c r="U40" s="4">
        <f t="shared" si="34"/>
        <v>5.9999999999999787</v>
      </c>
      <c r="V40" s="21">
        <f t="shared" si="33"/>
        <v>114.99999999999999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-123.65217391304304</v>
      </c>
      <c r="AF40" s="20">
        <f t="shared" si="9"/>
        <v>0.95878260869565235</v>
      </c>
      <c r="AG40" s="186"/>
    </row>
    <row r="41" spans="1:33" ht="15.75" customHeight="1">
      <c r="A41" s="183" t="s">
        <v>1765</v>
      </c>
      <c r="B41" s="35" t="s">
        <v>108</v>
      </c>
      <c r="C41" s="174" t="s">
        <v>305</v>
      </c>
      <c r="D41" s="175"/>
      <c r="E41" s="35">
        <v>28.3</v>
      </c>
      <c r="F41" s="4">
        <v>2627</v>
      </c>
      <c r="G41" s="4">
        <f t="shared" si="31"/>
        <v>74344.100000000006</v>
      </c>
      <c r="H41" s="21" t="s">
        <v>133</v>
      </c>
      <c r="I41" s="15">
        <v>8</v>
      </c>
      <c r="J41" s="17">
        <v>3000</v>
      </c>
      <c r="K41" s="16">
        <f t="shared" si="1"/>
        <v>375</v>
      </c>
      <c r="L41" s="15">
        <v>8</v>
      </c>
      <c r="M41" s="17">
        <f t="shared" si="32"/>
        <v>2865.8181818181838</v>
      </c>
      <c r="N41" s="17">
        <f t="shared" si="3"/>
        <v>358.22727272727298</v>
      </c>
      <c r="O41" s="18">
        <f t="shared" si="4"/>
        <v>0</v>
      </c>
      <c r="P41" s="19">
        <f t="shared" si="5"/>
        <v>-16.772727272727025</v>
      </c>
      <c r="Q41" s="20">
        <f t="shared" si="6"/>
        <v>0.95527272727272794</v>
      </c>
      <c r="R41" s="186"/>
      <c r="S41" s="27">
        <v>0.36944444444444441</v>
      </c>
      <c r="T41" s="27">
        <v>0.40763888888888883</v>
      </c>
      <c r="U41" s="4">
        <f t="shared" si="34"/>
        <v>7.9999999999999716</v>
      </c>
      <c r="V41" s="21">
        <f t="shared" si="33"/>
        <v>54.999999999999964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-134.1818181818162</v>
      </c>
      <c r="AF41" s="20">
        <f t="shared" si="9"/>
        <v>0.95527272727272794</v>
      </c>
      <c r="AG41" s="186"/>
    </row>
    <row r="42" spans="1:33" ht="15.75" customHeight="1">
      <c r="A42" s="183" t="s">
        <v>1765</v>
      </c>
      <c r="B42" s="35" t="s">
        <v>108</v>
      </c>
      <c r="C42" s="174" t="s">
        <v>113</v>
      </c>
      <c r="D42" s="175"/>
      <c r="E42" s="35">
        <v>35.869999999999997</v>
      </c>
      <c r="F42" s="4">
        <v>3321</v>
      </c>
      <c r="G42" s="4">
        <f t="shared" si="31"/>
        <v>119124.26999999999</v>
      </c>
      <c r="H42" s="21" t="s">
        <v>133</v>
      </c>
      <c r="I42" s="15">
        <v>9</v>
      </c>
      <c r="J42" s="17">
        <v>3000</v>
      </c>
      <c r="K42" s="16">
        <f t="shared" si="1"/>
        <v>333.33333333333331</v>
      </c>
      <c r="L42" s="15">
        <v>9</v>
      </c>
      <c r="M42" s="17">
        <f t="shared" si="32"/>
        <v>2887.8260869565215</v>
      </c>
      <c r="N42" s="17">
        <f t="shared" si="3"/>
        <v>320.86956521739125</v>
      </c>
      <c r="O42" s="18">
        <f t="shared" si="4"/>
        <v>0</v>
      </c>
      <c r="P42" s="19">
        <f t="shared" si="5"/>
        <v>-12.463768115942059</v>
      </c>
      <c r="Q42" s="20">
        <f t="shared" si="6"/>
        <v>0.96260869565217377</v>
      </c>
      <c r="R42" s="186"/>
      <c r="S42" s="27">
        <v>0.41249999999999992</v>
      </c>
      <c r="T42" s="27">
        <v>0.46041666666666659</v>
      </c>
      <c r="U42" s="4">
        <f t="shared" si="34"/>
        <v>6.9999999999999751</v>
      </c>
      <c r="V42" s="21">
        <f t="shared" si="33"/>
        <v>69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-112.17391304347848</v>
      </c>
      <c r="AF42" s="20">
        <f t="shared" si="9"/>
        <v>0.96260869565217388</v>
      </c>
      <c r="AG42" s="186"/>
    </row>
    <row r="43" spans="1:33" ht="15.75" customHeight="1">
      <c r="A43" s="184" t="s">
        <v>1765</v>
      </c>
      <c r="B43" s="35" t="s">
        <v>1757</v>
      </c>
      <c r="C43" s="164"/>
      <c r="D43" s="165"/>
      <c r="E43" s="37"/>
      <c r="F43" s="4"/>
      <c r="G43" s="4"/>
      <c r="H43" s="4"/>
      <c r="I43" s="29">
        <v>9.2857142857142865</v>
      </c>
      <c r="J43" s="17">
        <v>3000</v>
      </c>
      <c r="K43" s="16">
        <f t="shared" si="1"/>
        <v>323.07692307692304</v>
      </c>
      <c r="L43" s="29">
        <v>9.2857142857142865</v>
      </c>
      <c r="M43" s="17">
        <f>AVERAGE(M36:M42)</f>
        <v>2874.1240663816875</v>
      </c>
      <c r="N43" s="16">
        <f t="shared" si="3"/>
        <v>309.52105330264322</v>
      </c>
      <c r="O43" s="18">
        <f t="shared" si="4"/>
        <v>0</v>
      </c>
      <c r="P43" s="19">
        <f t="shared" si="5"/>
        <v>-13.555869774279813</v>
      </c>
      <c r="Q43" s="20">
        <f t="shared" si="6"/>
        <v>0.95804135546056246</v>
      </c>
      <c r="R43" s="187"/>
      <c r="S43" s="27"/>
      <c r="T43" s="27"/>
      <c r="U43" s="4"/>
      <c r="V43" s="21"/>
      <c r="W43" s="22"/>
      <c r="X43" s="22"/>
      <c r="Y43" s="30">
        <f>SUM(Y36:Y42)</f>
        <v>0</v>
      </c>
      <c r="Z43" s="30">
        <f>SUM(Z36:Z42)</f>
        <v>0</v>
      </c>
      <c r="AA43" s="180"/>
      <c r="AB43" s="181"/>
      <c r="AC43" s="30">
        <v>7</v>
      </c>
      <c r="AD43" s="30">
        <f>SUM(AD36:AD42)</f>
        <v>0</v>
      </c>
      <c r="AE43" s="18">
        <f t="shared" si="8"/>
        <v>-125.8759336183125</v>
      </c>
      <c r="AF43" s="20">
        <f t="shared" si="9"/>
        <v>0.95804135546056246</v>
      </c>
      <c r="AG43" s="187"/>
    </row>
    <row r="44" spans="1:33" ht="15.75" customHeight="1">
      <c r="A44" s="178" t="s">
        <v>1766</v>
      </c>
      <c r="B44" s="35" t="s">
        <v>84</v>
      </c>
      <c r="C44" s="163" t="s">
        <v>114</v>
      </c>
      <c r="D44" s="163"/>
      <c r="E44" s="35">
        <v>46</v>
      </c>
      <c r="F44" s="38">
        <v>2024</v>
      </c>
      <c r="G44" s="4">
        <f t="shared" ref="G44:G50" si="35">E44*F44</f>
        <v>93104</v>
      </c>
      <c r="H44" s="21" t="s">
        <v>133</v>
      </c>
      <c r="I44" s="15">
        <v>17</v>
      </c>
      <c r="J44" s="17">
        <v>2000</v>
      </c>
      <c r="K44" s="16">
        <f t="shared" si="1"/>
        <v>117.64705882352941</v>
      </c>
      <c r="L44" s="15">
        <v>17</v>
      </c>
      <c r="M44" s="17">
        <f t="shared" ref="M44" si="36">F44/V44*60</f>
        <v>1927.6190476190484</v>
      </c>
      <c r="N44" s="17">
        <f t="shared" si="3"/>
        <v>113.38935574229697</v>
      </c>
      <c r="O44" s="18">
        <f t="shared" si="4"/>
        <v>0</v>
      </c>
      <c r="P44" s="19">
        <f t="shared" si="5"/>
        <v>-4.2577030812324352</v>
      </c>
      <c r="Q44" s="20">
        <f t="shared" si="6"/>
        <v>0.96380952380952434</v>
      </c>
      <c r="R44" s="170">
        <f>Q51</f>
        <v>0.95329884292050537</v>
      </c>
      <c r="S44" s="27">
        <v>0.20833333333333334</v>
      </c>
      <c r="T44" s="27">
        <v>0.25208333333333333</v>
      </c>
      <c r="U44" s="27"/>
      <c r="V44" s="21">
        <f t="shared" ref="V44:V50" si="37">(T44-S44)*24*60</f>
        <v>62.999999999999979</v>
      </c>
      <c r="W44" s="27"/>
      <c r="X44" s="27"/>
      <c r="Y44" s="27"/>
      <c r="Z44" s="27"/>
      <c r="AA44" s="162"/>
      <c r="AB44" s="162"/>
      <c r="AC44" s="24">
        <v>7</v>
      </c>
      <c r="AD44" s="24"/>
      <c r="AE44" s="18">
        <f t="shared" si="8"/>
        <v>-72.380952380951612</v>
      </c>
      <c r="AF44" s="20">
        <f t="shared" si="9"/>
        <v>0.96380952380952423</v>
      </c>
      <c r="AG44" s="170">
        <f>AF51</f>
        <v>0.95329884292050526</v>
      </c>
    </row>
    <row r="45" spans="1:33" ht="15.75" customHeight="1">
      <c r="A45" s="178" t="s">
        <v>1766</v>
      </c>
      <c r="B45" s="35" t="s">
        <v>78</v>
      </c>
      <c r="C45" s="163" t="s">
        <v>115</v>
      </c>
      <c r="D45" s="163"/>
      <c r="E45" s="35">
        <v>56.43</v>
      </c>
      <c r="F45" s="38">
        <v>1438</v>
      </c>
      <c r="G45" s="4">
        <f t="shared" si="35"/>
        <v>81146.34</v>
      </c>
      <c r="H45" s="21" t="s">
        <v>133</v>
      </c>
      <c r="I45" s="15">
        <v>22</v>
      </c>
      <c r="J45" s="17">
        <v>2000</v>
      </c>
      <c r="K45" s="16">
        <f t="shared" si="1"/>
        <v>90.909090909090907</v>
      </c>
      <c r="L45" s="15">
        <v>22</v>
      </c>
      <c r="M45" s="17">
        <f>F45/V45*60</f>
        <v>1875.6521739130435</v>
      </c>
      <c r="N45" s="17">
        <f t="shared" si="3"/>
        <v>85.256916996047437</v>
      </c>
      <c r="O45" s="18">
        <f t="shared" si="4"/>
        <v>0</v>
      </c>
      <c r="P45" s="19">
        <f t="shared" si="5"/>
        <v>-5.6521739130434696</v>
      </c>
      <c r="Q45" s="20">
        <f t="shared" si="6"/>
        <v>0.93782608695652181</v>
      </c>
      <c r="R45" s="170"/>
      <c r="S45" s="27">
        <v>0.25624999999999998</v>
      </c>
      <c r="T45" s="27">
        <v>0.28819444444444442</v>
      </c>
      <c r="U45" s="4">
        <f t="shared" ref="U45:U50" si="38">IF(S45=TIME(17,0,0),"",(S45-T44)*24*60)</f>
        <v>5.9999999999999787</v>
      </c>
      <c r="V45" s="21">
        <f t="shared" si="37"/>
        <v>46</v>
      </c>
      <c r="W45" s="22"/>
      <c r="X45" s="22"/>
      <c r="Y45" s="22"/>
      <c r="Z45" s="22"/>
      <c r="AA45" s="162"/>
      <c r="AB45" s="162"/>
      <c r="AC45" s="24"/>
      <c r="AD45" s="24"/>
      <c r="AE45" s="18">
        <f t="shared" si="8"/>
        <v>-124.3478260869565</v>
      </c>
      <c r="AF45" s="20">
        <f t="shared" si="9"/>
        <v>0.9378260869565217</v>
      </c>
      <c r="AG45" s="170"/>
    </row>
    <row r="46" spans="1:33" ht="15.75" customHeight="1">
      <c r="A46" s="178" t="s">
        <v>1766</v>
      </c>
      <c r="B46" s="35" t="s">
        <v>78</v>
      </c>
      <c r="C46" s="174" t="s">
        <v>116</v>
      </c>
      <c r="D46" s="175"/>
      <c r="E46" s="35">
        <v>51.75</v>
      </c>
      <c r="F46" s="38">
        <v>1002</v>
      </c>
      <c r="G46" s="4">
        <f t="shared" si="35"/>
        <v>51853.5</v>
      </c>
      <c r="H46" s="21" t="s">
        <v>133</v>
      </c>
      <c r="I46" s="15">
        <v>25</v>
      </c>
      <c r="J46" s="17">
        <v>2000</v>
      </c>
      <c r="K46" s="16">
        <f t="shared" si="1"/>
        <v>80</v>
      </c>
      <c r="L46" s="15">
        <v>25</v>
      </c>
      <c r="M46" s="17">
        <f t="shared" ref="M46:M50" si="39">F46/V46*60</f>
        <v>1821.8181818181795</v>
      </c>
      <c r="N46" s="17">
        <f t="shared" si="3"/>
        <v>72.872727272727175</v>
      </c>
      <c r="O46" s="18">
        <f t="shared" si="4"/>
        <v>0</v>
      </c>
      <c r="P46" s="19">
        <f t="shared" si="5"/>
        <v>-7.1272727272728247</v>
      </c>
      <c r="Q46" s="20">
        <f t="shared" si="6"/>
        <v>0.91090909090908967</v>
      </c>
      <c r="R46" s="170"/>
      <c r="S46" s="27">
        <v>0.29305555555555551</v>
      </c>
      <c r="T46" s="27">
        <v>0.31597222222222221</v>
      </c>
      <c r="U46" s="4">
        <f t="shared" si="38"/>
        <v>6.9999999999999751</v>
      </c>
      <c r="V46" s="21">
        <f t="shared" si="37"/>
        <v>33.000000000000043</v>
      </c>
      <c r="W46" s="22"/>
      <c r="X46" s="22"/>
      <c r="Y46" s="25"/>
      <c r="Z46" s="25"/>
      <c r="AA46" s="162"/>
      <c r="AB46" s="162"/>
      <c r="AC46" s="24"/>
      <c r="AD46" s="24"/>
      <c r="AE46" s="18">
        <f t="shared" si="8"/>
        <v>-178.18181818182052</v>
      </c>
      <c r="AF46" s="20">
        <f t="shared" si="9"/>
        <v>0.91090909090908978</v>
      </c>
      <c r="AG46" s="170"/>
    </row>
    <row r="47" spans="1:33" ht="15.75" customHeight="1">
      <c r="A47" s="178" t="s">
        <v>1766</v>
      </c>
      <c r="B47" s="35" t="s">
        <v>78</v>
      </c>
      <c r="C47" s="39" t="s">
        <v>118</v>
      </c>
      <c r="D47" s="40"/>
      <c r="E47" s="35">
        <v>57.73</v>
      </c>
      <c r="F47" s="38">
        <v>1071</v>
      </c>
      <c r="G47" s="4">
        <f t="shared" si="35"/>
        <v>61828.829999999994</v>
      </c>
      <c r="H47" s="21" t="s">
        <v>133</v>
      </c>
      <c r="I47" s="15">
        <v>16</v>
      </c>
      <c r="J47" s="17">
        <v>1500</v>
      </c>
      <c r="K47" s="16">
        <f t="shared" si="1"/>
        <v>93.75</v>
      </c>
      <c r="L47" s="15">
        <v>16</v>
      </c>
      <c r="M47" s="17">
        <f t="shared" si="39"/>
        <v>1460.4545454545455</v>
      </c>
      <c r="N47" s="17">
        <f t="shared" si="3"/>
        <v>91.278409090909093</v>
      </c>
      <c r="O47" s="18">
        <f t="shared" si="4"/>
        <v>0</v>
      </c>
      <c r="P47" s="19">
        <f t="shared" si="5"/>
        <v>-2.4715909090909065</v>
      </c>
      <c r="Q47" s="20">
        <f t="shared" si="6"/>
        <v>0.97363636363636363</v>
      </c>
      <c r="R47" s="170"/>
      <c r="S47" s="27">
        <v>0.70833333333333337</v>
      </c>
      <c r="T47" s="27">
        <v>0.73888888888888893</v>
      </c>
      <c r="U47" s="4" t="str">
        <f t="shared" si="38"/>
        <v/>
      </c>
      <c r="V47" s="21">
        <f t="shared" si="37"/>
        <v>44</v>
      </c>
      <c r="W47" s="22"/>
      <c r="X47" s="22"/>
      <c r="Y47" s="25"/>
      <c r="Z47" s="25"/>
      <c r="AA47" s="162"/>
      <c r="AB47" s="162"/>
      <c r="AC47" s="24"/>
      <c r="AD47" s="24"/>
      <c r="AE47" s="18">
        <f t="shared" si="8"/>
        <v>-39.545454545454504</v>
      </c>
      <c r="AF47" s="20">
        <f t="shared" si="9"/>
        <v>0.97363636363636363</v>
      </c>
      <c r="AG47" s="170"/>
    </row>
    <row r="48" spans="1:33" ht="15.75" customHeight="1">
      <c r="A48" s="178" t="s">
        <v>1766</v>
      </c>
      <c r="B48" s="35" t="s">
        <v>78</v>
      </c>
      <c r="C48" s="39" t="s">
        <v>119</v>
      </c>
      <c r="D48" s="40"/>
      <c r="E48" s="35">
        <v>54.29</v>
      </c>
      <c r="F48" s="38">
        <v>1067</v>
      </c>
      <c r="G48" s="4">
        <f t="shared" si="35"/>
        <v>57927.43</v>
      </c>
      <c r="H48" s="21" t="s">
        <v>133</v>
      </c>
      <c r="I48" s="15">
        <v>20</v>
      </c>
      <c r="J48" s="17">
        <v>2000</v>
      </c>
      <c r="K48" s="16">
        <f t="shared" si="1"/>
        <v>100</v>
      </c>
      <c r="L48" s="15">
        <v>20</v>
      </c>
      <c r="M48" s="17">
        <f t="shared" si="39"/>
        <v>1939.9999999999975</v>
      </c>
      <c r="N48" s="17">
        <f t="shared" si="3"/>
        <v>96.999999999999872</v>
      </c>
      <c r="O48" s="18">
        <f t="shared" si="4"/>
        <v>0</v>
      </c>
      <c r="P48" s="19">
        <f t="shared" si="5"/>
        <v>-3.0000000000001279</v>
      </c>
      <c r="Q48" s="20">
        <f t="shared" si="6"/>
        <v>0.96999999999999875</v>
      </c>
      <c r="R48" s="170"/>
      <c r="S48" s="27">
        <v>0.74305555555555558</v>
      </c>
      <c r="T48" s="27">
        <v>0.76597222222222228</v>
      </c>
      <c r="U48" s="4">
        <f t="shared" si="38"/>
        <v>5.9999999999999787</v>
      </c>
      <c r="V48" s="21">
        <f t="shared" si="37"/>
        <v>33.000000000000043</v>
      </c>
      <c r="W48" s="22"/>
      <c r="X48" s="22"/>
      <c r="Y48" s="25"/>
      <c r="Z48" s="25"/>
      <c r="AA48" s="162"/>
      <c r="AB48" s="162"/>
      <c r="AC48" s="24"/>
      <c r="AD48" s="24"/>
      <c r="AE48" s="18">
        <f t="shared" si="8"/>
        <v>-60.000000000002501</v>
      </c>
      <c r="AF48" s="20">
        <f t="shared" si="9"/>
        <v>0.96999999999999875</v>
      </c>
      <c r="AG48" s="170"/>
    </row>
    <row r="49" spans="1:33" ht="15.75" customHeight="1">
      <c r="A49" s="178" t="s">
        <v>1766</v>
      </c>
      <c r="B49" s="35" t="s">
        <v>78</v>
      </c>
      <c r="C49" s="174" t="s">
        <v>120</v>
      </c>
      <c r="D49" s="175"/>
      <c r="E49" s="35">
        <v>55.56</v>
      </c>
      <c r="F49" s="38">
        <v>1768</v>
      </c>
      <c r="G49" s="4">
        <f t="shared" si="35"/>
        <v>98230.080000000002</v>
      </c>
      <c r="H49" s="21" t="s">
        <v>133</v>
      </c>
      <c r="I49" s="15">
        <v>17</v>
      </c>
      <c r="J49" s="17">
        <v>2000</v>
      </c>
      <c r="K49" s="16">
        <f t="shared" si="1"/>
        <v>117.64705882352941</v>
      </c>
      <c r="L49" s="15">
        <v>17</v>
      </c>
      <c r="M49" s="17">
        <f t="shared" si="39"/>
        <v>1928.7272727272741</v>
      </c>
      <c r="N49" s="17">
        <f t="shared" si="3"/>
        <v>113.45454545454554</v>
      </c>
      <c r="O49" s="18">
        <f t="shared" si="4"/>
        <v>0</v>
      </c>
      <c r="P49" s="19">
        <f t="shared" si="5"/>
        <v>-4.1925133689838674</v>
      </c>
      <c r="Q49" s="20">
        <f t="shared" si="6"/>
        <v>0.96436363636363709</v>
      </c>
      <c r="R49" s="170"/>
      <c r="S49" s="27">
        <v>0.77152777777777781</v>
      </c>
      <c r="T49" s="27">
        <v>0.80972222222222223</v>
      </c>
      <c r="U49" s="4">
        <f t="shared" si="38"/>
        <v>7.9999999999999716</v>
      </c>
      <c r="V49" s="21">
        <f t="shared" si="37"/>
        <v>54.999999999999964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-71.272727272725888</v>
      </c>
      <c r="AF49" s="20">
        <f t="shared" si="9"/>
        <v>0.96436363636363709</v>
      </c>
      <c r="AG49" s="170"/>
    </row>
    <row r="50" spans="1:33" ht="15.75" customHeight="1">
      <c r="A50" s="178" t="s">
        <v>1766</v>
      </c>
      <c r="B50" s="35" t="s">
        <v>78</v>
      </c>
      <c r="C50" s="174" t="s">
        <v>121</v>
      </c>
      <c r="D50" s="175"/>
      <c r="E50" s="35">
        <v>55.32</v>
      </c>
      <c r="F50" s="38">
        <v>1213</v>
      </c>
      <c r="G50" s="4">
        <f t="shared" si="35"/>
        <v>67103.16</v>
      </c>
      <c r="H50" s="21" t="s">
        <v>133</v>
      </c>
      <c r="I50" s="15">
        <v>15</v>
      </c>
      <c r="J50" s="17">
        <v>2000</v>
      </c>
      <c r="K50" s="16">
        <f t="shared" si="1"/>
        <v>133.33333333333334</v>
      </c>
      <c r="L50" s="15">
        <v>15</v>
      </c>
      <c r="M50" s="17">
        <f t="shared" si="39"/>
        <v>1915.2631578947355</v>
      </c>
      <c r="N50" s="17">
        <f t="shared" si="3"/>
        <v>127.6842105263157</v>
      </c>
      <c r="O50" s="18">
        <f t="shared" si="4"/>
        <v>0</v>
      </c>
      <c r="P50" s="19">
        <f t="shared" si="5"/>
        <v>-5.6491228070176476</v>
      </c>
      <c r="Q50" s="20">
        <f t="shared" si="6"/>
        <v>0.95763157894736761</v>
      </c>
      <c r="R50" s="170"/>
      <c r="S50" s="27">
        <v>0.81458333333333333</v>
      </c>
      <c r="T50" s="27">
        <v>0.84097222222222223</v>
      </c>
      <c r="U50" s="4">
        <f t="shared" si="38"/>
        <v>6.9999999999999751</v>
      </c>
      <c r="V50" s="21">
        <f t="shared" si="37"/>
        <v>38.000000000000028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-84.736842105264486</v>
      </c>
      <c r="AF50" s="20">
        <f t="shared" si="9"/>
        <v>0.95763157894736772</v>
      </c>
      <c r="AG50" s="170"/>
    </row>
    <row r="51" spans="1:33">
      <c r="A51" s="179" t="s">
        <v>1766</v>
      </c>
      <c r="B51" s="35" t="s">
        <v>1757</v>
      </c>
      <c r="C51" s="171"/>
      <c r="D51" s="171"/>
      <c r="E51" s="36"/>
      <c r="F51" s="16"/>
      <c r="G51" s="16"/>
      <c r="H51" s="4"/>
      <c r="I51" s="29">
        <v>18.857142857142858</v>
      </c>
      <c r="J51" s="17">
        <v>1928.5714285714287</v>
      </c>
      <c r="K51" s="16">
        <f t="shared" si="1"/>
        <v>102.27272727272728</v>
      </c>
      <c r="L51" s="29">
        <v>18.857142857142858</v>
      </c>
      <c r="M51" s="17">
        <f>AVERAGE(M44:M50)</f>
        <v>1838.5049113466889</v>
      </c>
      <c r="N51" s="16">
        <f t="shared" si="3"/>
        <v>97.496472571415325</v>
      </c>
      <c r="O51" s="18">
        <f t="shared" si="4"/>
        <v>0</v>
      </c>
      <c r="P51" s="19">
        <f t="shared" si="5"/>
        <v>-4.7762547013119558</v>
      </c>
      <c r="Q51" s="20">
        <f t="shared" si="6"/>
        <v>0.95329884292050537</v>
      </c>
      <c r="R51" s="170"/>
      <c r="S51" s="27"/>
      <c r="T51" s="27"/>
      <c r="U51" s="4"/>
      <c r="V51" s="21"/>
      <c r="W51" s="16"/>
      <c r="X51" s="16"/>
      <c r="Y51" s="30">
        <f>SUM(Y44:Y50)</f>
        <v>0</v>
      </c>
      <c r="Z51" s="30">
        <f>SUM(Z44:Z50)</f>
        <v>0</v>
      </c>
      <c r="AA51" s="166"/>
      <c r="AB51" s="166"/>
      <c r="AC51" s="30">
        <v>7</v>
      </c>
      <c r="AD51" s="30">
        <f>SUM(AD44:AD50)</f>
        <v>0</v>
      </c>
      <c r="AE51" s="18">
        <f>M51-J51</f>
        <v>-90.066517224739755</v>
      </c>
      <c r="AF51" s="20">
        <f t="shared" si="9"/>
        <v>0.95329884292050526</v>
      </c>
      <c r="AG51" s="170"/>
    </row>
    <row r="52" spans="1:33" ht="15.75" customHeight="1">
      <c r="A52" s="172" t="s">
        <v>1767</v>
      </c>
      <c r="B52" s="4" t="s">
        <v>108</v>
      </c>
      <c r="C52" s="163" t="s">
        <v>125</v>
      </c>
      <c r="D52" s="163"/>
      <c r="E52" s="35">
        <v>37.85</v>
      </c>
      <c r="F52" s="38">
        <v>1219</v>
      </c>
      <c r="G52" s="4">
        <f t="shared" ref="G52:G54" si="40">E52*F52</f>
        <v>46139.15</v>
      </c>
      <c r="H52" s="21" t="s">
        <v>133</v>
      </c>
      <c r="I52" s="15">
        <v>12</v>
      </c>
      <c r="J52" s="17">
        <v>2000</v>
      </c>
      <c r="K52" s="16">
        <f t="shared" si="1"/>
        <v>166.66666666666666</v>
      </c>
      <c r="L52" s="15">
        <v>12</v>
      </c>
      <c r="M52" s="17">
        <f t="shared" ref="M52:M54" si="41">F52/V52*60</f>
        <v>1924.7368421052638</v>
      </c>
      <c r="N52" s="16">
        <f t="shared" si="3"/>
        <v>160.39473684210532</v>
      </c>
      <c r="O52" s="18">
        <f t="shared" si="4"/>
        <v>0</v>
      </c>
      <c r="P52" s="19">
        <f t="shared" si="5"/>
        <v>-6.2719298245613402</v>
      </c>
      <c r="Q52" s="20">
        <f t="shared" si="6"/>
        <v>0.96236842105263198</v>
      </c>
      <c r="R52" s="170">
        <f>Q55</f>
        <v>0.96183642344497633</v>
      </c>
      <c r="S52" s="27">
        <v>0.20833333333333334</v>
      </c>
      <c r="T52" s="27">
        <v>0.23472222222222222</v>
      </c>
      <c r="U52" s="4"/>
      <c r="V52" s="21">
        <f t="shared" ref="V52:V54" si="42">(T52-S52)*24*60</f>
        <v>37.999999999999986</v>
      </c>
      <c r="W52" s="27"/>
      <c r="X52" s="27"/>
      <c r="Y52" s="27"/>
      <c r="Z52" s="27"/>
      <c r="AA52" s="162"/>
      <c r="AB52" s="162"/>
      <c r="AC52" s="24">
        <v>3</v>
      </c>
      <c r="AD52" s="24"/>
      <c r="AE52" s="18">
        <f t="shared" ref="AE52:AE61" si="43">M52-J52</f>
        <v>-75.263157894736196</v>
      </c>
      <c r="AF52" s="20">
        <f t="shared" si="9"/>
        <v>0.96236842105263187</v>
      </c>
      <c r="AG52" s="170">
        <f>AF55</f>
        <v>0.96183642344497633</v>
      </c>
    </row>
    <row r="53" spans="1:33" ht="15.75" customHeight="1">
      <c r="A53" s="172" t="s">
        <v>1767</v>
      </c>
      <c r="B53" s="4" t="s">
        <v>108</v>
      </c>
      <c r="C53" s="163" t="s">
        <v>126</v>
      </c>
      <c r="D53" s="163"/>
      <c r="E53" s="35">
        <v>34.36</v>
      </c>
      <c r="F53" s="38">
        <v>1687</v>
      </c>
      <c r="G53" s="4">
        <f t="shared" si="40"/>
        <v>57965.32</v>
      </c>
      <c r="H53" s="21" t="s">
        <v>133</v>
      </c>
      <c r="I53" s="15">
        <v>10</v>
      </c>
      <c r="J53" s="17">
        <v>3000</v>
      </c>
      <c r="K53" s="16">
        <f t="shared" si="1"/>
        <v>300</v>
      </c>
      <c r="L53" s="15">
        <v>10</v>
      </c>
      <c r="M53" s="17">
        <f t="shared" si="41"/>
        <v>2892.0000000000005</v>
      </c>
      <c r="N53" s="16">
        <f t="shared" si="3"/>
        <v>289.20000000000005</v>
      </c>
      <c r="O53" s="18">
        <f t="shared" si="4"/>
        <v>0</v>
      </c>
      <c r="P53" s="19">
        <f t="shared" si="5"/>
        <v>-10.799999999999955</v>
      </c>
      <c r="Q53" s="20">
        <f t="shared" si="6"/>
        <v>0.96400000000000019</v>
      </c>
      <c r="R53" s="170"/>
      <c r="S53" s="27">
        <v>0.23958333333333334</v>
      </c>
      <c r="T53" s="27">
        <v>0.2638888888888889</v>
      </c>
      <c r="U53" s="4">
        <f t="shared" ref="U53:U54" si="44">(S53-T52)*24*60</f>
        <v>7.0000000000000151</v>
      </c>
      <c r="V53" s="21">
        <f t="shared" si="42"/>
        <v>34.999999999999993</v>
      </c>
      <c r="W53" s="4"/>
      <c r="X53" s="4"/>
      <c r="Y53" s="4"/>
      <c r="Z53" s="4"/>
      <c r="AA53" s="162"/>
      <c r="AB53" s="162"/>
      <c r="AC53" s="24"/>
      <c r="AD53" s="24"/>
      <c r="AE53" s="18">
        <f t="shared" si="43"/>
        <v>-107.99999999999955</v>
      </c>
      <c r="AF53" s="20">
        <f t="shared" si="9"/>
        <v>0.96400000000000019</v>
      </c>
      <c r="AG53" s="170"/>
    </row>
    <row r="54" spans="1:33" ht="15.75" customHeight="1">
      <c r="A54" s="172" t="s">
        <v>1767</v>
      </c>
      <c r="B54" s="4" t="s">
        <v>108</v>
      </c>
      <c r="C54" s="163" t="s">
        <v>127</v>
      </c>
      <c r="D54" s="163"/>
      <c r="E54" s="35">
        <v>35.119999999999997</v>
      </c>
      <c r="F54" s="38">
        <v>4221</v>
      </c>
      <c r="G54" s="4">
        <f t="shared" si="40"/>
        <v>148241.51999999999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41"/>
        <v>2877.9545454545455</v>
      </c>
      <c r="N54" s="16">
        <f t="shared" si="3"/>
        <v>287.79545454545456</v>
      </c>
      <c r="O54" s="18">
        <f t="shared" si="4"/>
        <v>0</v>
      </c>
      <c r="P54" s="19">
        <f t="shared" si="5"/>
        <v>-12.204545454545439</v>
      </c>
      <c r="Q54" s="20">
        <f t="shared" si="6"/>
        <v>0.95931818181818185</v>
      </c>
      <c r="R54" s="170"/>
      <c r="S54" s="27">
        <v>0.26944444444444443</v>
      </c>
      <c r="T54" s="27">
        <v>0.33055555555555555</v>
      </c>
      <c r="U54" s="4">
        <f t="shared" si="44"/>
        <v>7.9999999999999716</v>
      </c>
      <c r="V54" s="21">
        <f t="shared" si="42"/>
        <v>88</v>
      </c>
      <c r="W54" s="4"/>
      <c r="X54" s="4"/>
      <c r="Y54" s="4"/>
      <c r="Z54" s="4"/>
      <c r="AA54" s="162"/>
      <c r="AB54" s="162"/>
      <c r="AC54" s="24"/>
      <c r="AD54" s="24"/>
      <c r="AE54" s="18">
        <f t="shared" si="43"/>
        <v>-122.0454545454545</v>
      </c>
      <c r="AF54" s="20">
        <f t="shared" si="9"/>
        <v>0.95931818181818185</v>
      </c>
      <c r="AG54" s="170"/>
    </row>
    <row r="55" spans="1:33">
      <c r="A55" s="173" t="s">
        <v>1767</v>
      </c>
      <c r="B55" s="35" t="s">
        <v>1757</v>
      </c>
      <c r="C55" s="171"/>
      <c r="D55" s="171"/>
      <c r="E55" s="36"/>
      <c r="F55" s="16"/>
      <c r="G55" s="16"/>
      <c r="H55" s="4"/>
      <c r="I55" s="29">
        <v>10.666666666666666</v>
      </c>
      <c r="J55" s="17">
        <v>2666.6666666666665</v>
      </c>
      <c r="K55" s="16">
        <f t="shared" si="1"/>
        <v>250</v>
      </c>
      <c r="L55" s="29">
        <v>10.666666666666666</v>
      </c>
      <c r="M55" s="17">
        <f>AVERAGE(M52:M54)</f>
        <v>2564.8971291866033</v>
      </c>
      <c r="N55" s="16">
        <f t="shared" si="3"/>
        <v>240.45910586124407</v>
      </c>
      <c r="O55" s="18">
        <f t="shared" si="4"/>
        <v>0</v>
      </c>
      <c r="P55" s="19">
        <f t="shared" si="5"/>
        <v>-9.540894138755931</v>
      </c>
      <c r="Q55" s="20">
        <f t="shared" si="6"/>
        <v>0.96183642344497633</v>
      </c>
      <c r="R55" s="170"/>
      <c r="S55" s="27"/>
      <c r="T55" s="27"/>
      <c r="U55" s="16"/>
      <c r="V55" s="21"/>
      <c r="W55" s="16"/>
      <c r="X55" s="16"/>
      <c r="Y55" s="30">
        <f>SUM(Y52:Y54)</f>
        <v>0</v>
      </c>
      <c r="Z55" s="30">
        <f>SUM(Z52:Z54)</f>
        <v>0</v>
      </c>
      <c r="AA55" s="166"/>
      <c r="AB55" s="166"/>
      <c r="AC55" s="30">
        <v>3</v>
      </c>
      <c r="AD55" s="30">
        <f>SUM(AD52:AD54)</f>
        <v>0</v>
      </c>
      <c r="AE55" s="18">
        <f t="shared" si="43"/>
        <v>-101.76953748006326</v>
      </c>
      <c r="AF55" s="20">
        <f t="shared" si="9"/>
        <v>0.96183642344497633</v>
      </c>
      <c r="AG55" s="170"/>
    </row>
    <row r="56" spans="1:33" ht="15.75" customHeight="1">
      <c r="A56" s="167" t="s">
        <v>1768</v>
      </c>
      <c r="B56" s="4" t="s">
        <v>97</v>
      </c>
      <c r="C56" s="163" t="s">
        <v>128</v>
      </c>
      <c r="D56" s="163"/>
      <c r="E56" s="35">
        <v>20.2</v>
      </c>
      <c r="F56" s="4">
        <v>1688</v>
      </c>
      <c r="G56" s="4">
        <f t="shared" ref="G56:G60" si="45">E56*F56</f>
        <v>34097.599999999999</v>
      </c>
      <c r="H56" s="21" t="s">
        <v>133</v>
      </c>
      <c r="I56" s="15">
        <v>15</v>
      </c>
      <c r="J56" s="17">
        <v>2400</v>
      </c>
      <c r="K56" s="16">
        <f t="shared" si="1"/>
        <v>160</v>
      </c>
      <c r="L56" s="15">
        <v>15</v>
      </c>
      <c r="M56" s="17">
        <f t="shared" ref="M56:M60" si="46">F56/V56*60</f>
        <v>2301.818181818182</v>
      </c>
      <c r="N56" s="16">
        <f t="shared" si="3"/>
        <v>153.45454545454547</v>
      </c>
      <c r="O56" s="18">
        <f t="shared" si="4"/>
        <v>0</v>
      </c>
      <c r="P56" s="19">
        <f t="shared" si="5"/>
        <v>-6.5454545454545325</v>
      </c>
      <c r="Q56" s="20">
        <f t="shared" si="6"/>
        <v>0.95909090909090922</v>
      </c>
      <c r="R56" s="170">
        <f>Q61</f>
        <v>0.95662856621230996</v>
      </c>
      <c r="S56" s="27">
        <v>8.3333333333333329E-2</v>
      </c>
      <c r="T56" s="27">
        <v>0.11388888888888889</v>
      </c>
      <c r="U56" s="27"/>
      <c r="V56" s="21">
        <f t="shared" ref="V56:V60" si="47">(T56-S56)*24*60</f>
        <v>44</v>
      </c>
      <c r="W56" s="22">
        <f>T56</f>
        <v>0.11388888888888889</v>
      </c>
      <c r="X56" s="22">
        <f>S57</f>
        <v>0.13402777777777777</v>
      </c>
      <c r="Y56" s="22"/>
      <c r="Z56" s="22"/>
      <c r="AA56" s="162"/>
      <c r="AB56" s="162"/>
      <c r="AC56" s="24">
        <v>5</v>
      </c>
      <c r="AD56" s="24"/>
      <c r="AE56" s="18">
        <f t="shared" si="43"/>
        <v>-98.181818181818016</v>
      </c>
      <c r="AF56" s="20">
        <f t="shared" si="9"/>
        <v>0.95909090909090911</v>
      </c>
      <c r="AG56" s="170">
        <f>AF61</f>
        <v>0.95662856621230996</v>
      </c>
    </row>
    <row r="57" spans="1:33" ht="15.75" customHeight="1">
      <c r="A57" s="168" t="s">
        <v>1768</v>
      </c>
      <c r="B57" s="4" t="s">
        <v>97</v>
      </c>
      <c r="C57" s="163" t="s">
        <v>129</v>
      </c>
      <c r="D57" s="163"/>
      <c r="E57" s="35">
        <v>24.45</v>
      </c>
      <c r="F57" s="4">
        <v>2033</v>
      </c>
      <c r="G57" s="4">
        <f t="shared" si="45"/>
        <v>49706.85</v>
      </c>
      <c r="H57" s="21" t="s">
        <v>133</v>
      </c>
      <c r="I57" s="15">
        <v>19</v>
      </c>
      <c r="J57" s="17">
        <v>2400</v>
      </c>
      <c r="K57" s="16">
        <f t="shared" si="1"/>
        <v>126.31578947368421</v>
      </c>
      <c r="L57" s="15">
        <v>19</v>
      </c>
      <c r="M57" s="17">
        <f t="shared" si="46"/>
        <v>2301.5094339622633</v>
      </c>
      <c r="N57" s="16">
        <f t="shared" si="3"/>
        <v>121.13207547169807</v>
      </c>
      <c r="O57" s="18">
        <f t="shared" si="4"/>
        <v>0</v>
      </c>
      <c r="P57" s="19">
        <f t="shared" si="5"/>
        <v>-5.1837140019861323</v>
      </c>
      <c r="Q57" s="20">
        <f t="shared" si="6"/>
        <v>0.9589622641509431</v>
      </c>
      <c r="R57" s="170"/>
      <c r="S57" s="27">
        <v>0.13402777777777777</v>
      </c>
      <c r="T57" s="27">
        <v>0.17083333333333334</v>
      </c>
      <c r="U57" s="4">
        <f t="shared" ref="U57:U60" si="48">(S57-T56)*24*60</f>
        <v>28.999999999999996</v>
      </c>
      <c r="V57" s="21">
        <f t="shared" si="47"/>
        <v>53.000000000000014</v>
      </c>
      <c r="W57" s="22"/>
      <c r="X57" s="22"/>
      <c r="Y57" s="22"/>
      <c r="Z57" s="22"/>
      <c r="AA57" s="162"/>
      <c r="AB57" s="162"/>
      <c r="AC57" s="24"/>
      <c r="AD57" s="24"/>
      <c r="AE57" s="18">
        <f t="shared" si="43"/>
        <v>-98.490566037736698</v>
      </c>
      <c r="AF57" s="20">
        <f t="shared" si="9"/>
        <v>0.95896226415094299</v>
      </c>
      <c r="AG57" s="170"/>
    </row>
    <row r="58" spans="1:33" ht="15.75" customHeight="1">
      <c r="A58" s="168" t="s">
        <v>1768</v>
      </c>
      <c r="B58" s="4" t="s">
        <v>97</v>
      </c>
      <c r="C58" s="163" t="s">
        <v>106</v>
      </c>
      <c r="D58" s="163"/>
      <c r="E58" s="35">
        <v>20.21</v>
      </c>
      <c r="F58" s="4">
        <v>2305</v>
      </c>
      <c r="G58" s="4">
        <f t="shared" si="45"/>
        <v>46584.05</v>
      </c>
      <c r="H58" s="21" t="s">
        <v>133</v>
      </c>
      <c r="I58" s="15">
        <v>15</v>
      </c>
      <c r="J58" s="17">
        <v>2400</v>
      </c>
      <c r="K58" s="16">
        <f t="shared" si="1"/>
        <v>160</v>
      </c>
      <c r="L58" s="15">
        <v>15</v>
      </c>
      <c r="M58" s="17">
        <f t="shared" si="46"/>
        <v>2305.0000000000009</v>
      </c>
      <c r="N58" s="16">
        <f t="shared" si="3"/>
        <v>153.66666666666671</v>
      </c>
      <c r="O58" s="18">
        <f t="shared" si="4"/>
        <v>0</v>
      </c>
      <c r="P58" s="19">
        <f t="shared" si="5"/>
        <v>-6.333333333333286</v>
      </c>
      <c r="Q58" s="20">
        <f t="shared" si="6"/>
        <v>0.96041666666666692</v>
      </c>
      <c r="R58" s="170"/>
      <c r="S58" s="27">
        <v>0.17500000000000002</v>
      </c>
      <c r="T58" s="27">
        <v>0.21666666666666667</v>
      </c>
      <c r="U58" s="4">
        <f t="shared" si="48"/>
        <v>6.0000000000000187</v>
      </c>
      <c r="V58" s="21">
        <f t="shared" si="47"/>
        <v>59.999999999999986</v>
      </c>
      <c r="W58" s="22"/>
      <c r="X58" s="22"/>
      <c r="Y58" s="22"/>
      <c r="Z58" s="22"/>
      <c r="AA58" s="162"/>
      <c r="AB58" s="162"/>
      <c r="AC58" s="24"/>
      <c r="AD58" s="24"/>
      <c r="AE58" s="18">
        <f t="shared" si="43"/>
        <v>-94.999999999999091</v>
      </c>
      <c r="AF58" s="20">
        <f t="shared" si="9"/>
        <v>0.96041666666666703</v>
      </c>
      <c r="AG58" s="170"/>
    </row>
    <row r="59" spans="1:33" ht="15.75" customHeight="1">
      <c r="A59" s="168" t="s">
        <v>1768</v>
      </c>
      <c r="B59" s="4" t="s">
        <v>97</v>
      </c>
      <c r="C59" s="163" t="s">
        <v>130</v>
      </c>
      <c r="D59" s="163"/>
      <c r="E59" s="35">
        <v>24.43</v>
      </c>
      <c r="F59" s="4">
        <v>5372</v>
      </c>
      <c r="G59" s="4">
        <f t="shared" si="45"/>
        <v>131237.96</v>
      </c>
      <c r="H59" s="21" t="s">
        <v>133</v>
      </c>
      <c r="I59" s="15">
        <v>14</v>
      </c>
      <c r="J59" s="17">
        <v>2400</v>
      </c>
      <c r="K59" s="16">
        <f t="shared" si="1"/>
        <v>171.42857142857142</v>
      </c>
      <c r="L59" s="15">
        <v>14</v>
      </c>
      <c r="M59" s="17">
        <f t="shared" si="46"/>
        <v>2285.9574468085111</v>
      </c>
      <c r="N59" s="16">
        <f t="shared" si="3"/>
        <v>163.2826747720365</v>
      </c>
      <c r="O59" s="18">
        <f t="shared" si="4"/>
        <v>0</v>
      </c>
      <c r="P59" s="19">
        <f t="shared" si="5"/>
        <v>-8.1458966565349158</v>
      </c>
      <c r="Q59" s="20">
        <f t="shared" si="6"/>
        <v>0.95248226950354631</v>
      </c>
      <c r="R59" s="170"/>
      <c r="S59" s="27">
        <v>0.22013888888888888</v>
      </c>
      <c r="T59" s="27">
        <v>0.31805555555555554</v>
      </c>
      <c r="U59" s="4">
        <f t="shared" si="48"/>
        <v>4.9999999999999822</v>
      </c>
      <c r="V59" s="21">
        <f t="shared" si="47"/>
        <v>140.99999999999997</v>
      </c>
      <c r="W59" s="22"/>
      <c r="X59" s="22"/>
      <c r="Y59" s="22"/>
      <c r="Z59" s="22"/>
      <c r="AA59" s="162"/>
      <c r="AB59" s="162"/>
      <c r="AC59" s="24"/>
      <c r="AD59" s="24"/>
      <c r="AE59" s="18">
        <f t="shared" si="43"/>
        <v>-114.04255319148888</v>
      </c>
      <c r="AF59" s="20">
        <f t="shared" si="9"/>
        <v>0.95248226950354631</v>
      </c>
      <c r="AG59" s="170"/>
    </row>
    <row r="60" spans="1:33" ht="15.75" customHeight="1">
      <c r="A60" s="168" t="s">
        <v>1768</v>
      </c>
      <c r="B60" s="4" t="s">
        <v>97</v>
      </c>
      <c r="C60" s="163" t="s">
        <v>132</v>
      </c>
      <c r="D60" s="163"/>
      <c r="E60" s="35">
        <v>19.02</v>
      </c>
      <c r="F60" s="4">
        <v>7389</v>
      </c>
      <c r="G60" s="4">
        <f t="shared" si="45"/>
        <v>140538.78</v>
      </c>
      <c r="H60" s="21" t="s">
        <v>133</v>
      </c>
      <c r="I60" s="15">
        <v>14</v>
      </c>
      <c r="J60" s="17">
        <v>2400</v>
      </c>
      <c r="K60" s="16">
        <f t="shared" si="1"/>
        <v>171.42857142857142</v>
      </c>
      <c r="L60" s="15">
        <v>14</v>
      </c>
      <c r="M60" s="17">
        <f t="shared" si="46"/>
        <v>2285.2577319587635</v>
      </c>
      <c r="N60" s="16">
        <f t="shared" si="3"/>
        <v>163.23269513991167</v>
      </c>
      <c r="O60" s="18">
        <f t="shared" si="4"/>
        <v>0</v>
      </c>
      <c r="P60" s="19">
        <f t="shared" si="5"/>
        <v>-8.1958762886597469</v>
      </c>
      <c r="Q60" s="20">
        <f t="shared" si="6"/>
        <v>0.95219072164948482</v>
      </c>
      <c r="R60" s="170"/>
      <c r="S60" s="27">
        <v>0.32222222222222219</v>
      </c>
      <c r="T60" s="27">
        <v>0.45694444444444438</v>
      </c>
      <c r="U60" s="4">
        <f t="shared" si="48"/>
        <v>5.9999999999999787</v>
      </c>
      <c r="V60" s="21">
        <f t="shared" si="47"/>
        <v>193.99999999999994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-114.74226804123646</v>
      </c>
      <c r="AF60" s="20">
        <f t="shared" si="9"/>
        <v>0.95219072164948482</v>
      </c>
      <c r="AG60" s="170"/>
    </row>
    <row r="61" spans="1:33" ht="16.5" customHeight="1">
      <c r="A61" s="169" t="s">
        <v>1768</v>
      </c>
      <c r="B61" s="35" t="s">
        <v>1757</v>
      </c>
      <c r="C61" s="164"/>
      <c r="D61" s="165"/>
      <c r="E61" s="36"/>
      <c r="F61" s="16"/>
      <c r="G61" s="16"/>
      <c r="H61" s="4"/>
      <c r="I61" s="29">
        <v>15.4</v>
      </c>
      <c r="J61" s="17">
        <v>2400</v>
      </c>
      <c r="K61" s="16">
        <f t="shared" si="1"/>
        <v>155.84415584415584</v>
      </c>
      <c r="L61" s="29">
        <v>15.4</v>
      </c>
      <c r="M61" s="17">
        <f>AVERAGE(M56:M60)</f>
        <v>2295.9085589095439</v>
      </c>
      <c r="N61" s="16">
        <f t="shared" si="3"/>
        <v>149.08497135776258</v>
      </c>
      <c r="O61" s="18">
        <f t="shared" si="4"/>
        <v>0</v>
      </c>
      <c r="P61" s="19">
        <f t="shared" si="5"/>
        <v>-6.7591844863932522</v>
      </c>
      <c r="Q61" s="20">
        <f t="shared" si="6"/>
        <v>0.95662856621230996</v>
      </c>
      <c r="R61" s="170"/>
      <c r="S61" s="27"/>
      <c r="T61" s="27"/>
      <c r="U61" s="16"/>
      <c r="V61" s="21"/>
      <c r="W61" s="16"/>
      <c r="X61" s="16"/>
      <c r="Y61" s="30">
        <f>SUM(Y56:Y60)</f>
        <v>0</v>
      </c>
      <c r="Z61" s="30">
        <f>SUM(Z56:Z60)</f>
        <v>0</v>
      </c>
      <c r="AA61" s="166"/>
      <c r="AB61" s="166"/>
      <c r="AC61" s="30">
        <v>5</v>
      </c>
      <c r="AD61" s="30">
        <f>SUM(AD56:AD60)</f>
        <v>0</v>
      </c>
      <c r="AE61" s="18">
        <f t="shared" si="43"/>
        <v>-104.0914410904561</v>
      </c>
      <c r="AF61" s="20">
        <f t="shared" si="9"/>
        <v>0.95662856621230996</v>
      </c>
      <c r="AG61" s="170"/>
    </row>
    <row r="62" spans="1:33">
      <c r="D62" s="41"/>
      <c r="E62" s="41"/>
    </row>
  </sheetData>
  <mergeCells count="175">
    <mergeCell ref="C61:D61"/>
    <mergeCell ref="AA61:AB61"/>
    <mergeCell ref="AA55:AB55"/>
    <mergeCell ref="C53:D53"/>
    <mergeCell ref="AA53:AB53"/>
    <mergeCell ref="C54:D54"/>
    <mergeCell ref="AA54:AB54"/>
    <mergeCell ref="C55:D55"/>
    <mergeCell ref="C59:D59"/>
    <mergeCell ref="AA59:AB59"/>
    <mergeCell ref="C60:D60"/>
    <mergeCell ref="AA60:AB60"/>
    <mergeCell ref="A56:A61"/>
    <mergeCell ref="C56:D56"/>
    <mergeCell ref="AG44:AG51"/>
    <mergeCell ref="C45:D45"/>
    <mergeCell ref="AA45:AB45"/>
    <mergeCell ref="C46:D46"/>
    <mergeCell ref="AA46:AB46"/>
    <mergeCell ref="AA47:AB47"/>
    <mergeCell ref="AA48:AB48"/>
    <mergeCell ref="C49:D49"/>
    <mergeCell ref="AA49:AB49"/>
    <mergeCell ref="C50:D50"/>
    <mergeCell ref="R56:R61"/>
    <mergeCell ref="AA56:AB56"/>
    <mergeCell ref="AG56:AG61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A36:A43"/>
    <mergeCell ref="C36:D36"/>
    <mergeCell ref="R36:R43"/>
    <mergeCell ref="AA36:AB36"/>
    <mergeCell ref="C43:D43"/>
    <mergeCell ref="AA43:AB43"/>
    <mergeCell ref="A44:A51"/>
    <mergeCell ref="C44:D44"/>
    <mergeCell ref="R44:R51"/>
    <mergeCell ref="AA44:AB44"/>
    <mergeCell ref="AA50:AB50"/>
    <mergeCell ref="C51:D51"/>
    <mergeCell ref="AA51:AB51"/>
    <mergeCell ref="AG36:AG43"/>
    <mergeCell ref="C37:D37"/>
    <mergeCell ref="AA37:AB37"/>
    <mergeCell ref="C38:D38"/>
    <mergeCell ref="AA38:AB38"/>
    <mergeCell ref="C39:D39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9:AB39"/>
    <mergeCell ref="C40:D40"/>
    <mergeCell ref="AA40:AB40"/>
    <mergeCell ref="C41:D41"/>
    <mergeCell ref="AA41:AB41"/>
    <mergeCell ref="C42:D42"/>
    <mergeCell ref="AA42:AB42"/>
    <mergeCell ref="A30:A35"/>
    <mergeCell ref="C30:D30"/>
    <mergeCell ref="R30:R35"/>
    <mergeCell ref="AA30:AB30"/>
    <mergeCell ref="AA35:AB35"/>
    <mergeCell ref="A24:A29"/>
    <mergeCell ref="C24:D24"/>
    <mergeCell ref="R24:R29"/>
    <mergeCell ref="AA24:AB24"/>
    <mergeCell ref="AG24:AG29"/>
    <mergeCell ref="C25:D25"/>
    <mergeCell ref="AA25:AB25"/>
    <mergeCell ref="C26:D26"/>
    <mergeCell ref="AA26:AB26"/>
    <mergeCell ref="C27:D27"/>
    <mergeCell ref="AG18:AG23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7:AB27"/>
    <mergeCell ref="C28:D28"/>
    <mergeCell ref="AA28:AB28"/>
    <mergeCell ref="C29:D29"/>
    <mergeCell ref="AA29:AB29"/>
    <mergeCell ref="A18:A23"/>
    <mergeCell ref="C18:D18"/>
    <mergeCell ref="R18:R23"/>
    <mergeCell ref="AA18:AB18"/>
    <mergeCell ref="AA23:AB23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1">
    <cfRule type="cellIs" dxfId="178" priority="9" operator="greaterThan">
      <formula>0</formula>
    </cfRule>
  </conditionalFormatting>
  <conditionalFormatting sqref="P5:P61">
    <cfRule type="cellIs" dxfId="177" priority="1" operator="lessThan">
      <formula>0</formula>
    </cfRule>
  </conditionalFormatting>
  <conditionalFormatting sqref="Q5:Q61 AF5:AF61">
    <cfRule type="cellIs" dxfId="176" priority="10" operator="greaterThan">
      <formula>1</formula>
    </cfRule>
    <cfRule type="cellIs" dxfId="175" priority="11" operator="lessThan">
      <formula>0.8</formula>
    </cfRule>
  </conditionalFormatting>
  <conditionalFormatting sqref="R5:R10 AG5:AG10">
    <cfRule type="cellIs" dxfId="174" priority="48" operator="lessThan">
      <formula>0.8</formula>
    </cfRule>
  </conditionalFormatting>
  <conditionalFormatting sqref="AE5:AE61">
    <cfRule type="cellIs" dxfId="173" priority="12" operator="lessThan">
      <formula>0</formula>
    </cfRule>
  </conditionalFormatting>
  <conditionalFormatting sqref="AG13:AG54 R13:R61">
    <cfRule type="cellIs" dxfId="172" priority="13" operator="lessThan">
      <formula>0.8</formula>
    </cfRule>
  </conditionalFormatting>
  <dataValidations count="1">
    <dataValidation type="list" allowBlank="1" showInputMessage="1" showErrorMessage="1" sqref="AB9 AA5:AB8 AA9:AA54 AB11:AB52 AA55:AB61" xr:uid="{00000000-0002-0000-1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Q32"/>
  <sheetViews>
    <sheetView topLeftCell="A4" zoomScale="85" zoomScaleNormal="85" workbookViewId="0">
      <selection activeCell="E8" sqref="E8:F8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1597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1598</v>
      </c>
      <c r="C3" s="151" t="str">
        <f>TEXT('0319 4度C'!A2,"yyyy.mm.ddaaaa")</f>
        <v>2026.03.19星期四</v>
      </c>
      <c r="D3" s="152"/>
      <c r="E3" s="45" t="s">
        <v>1599</v>
      </c>
      <c r="F3" s="153">
        <f>'0319 4度C'!D1</f>
        <v>142848</v>
      </c>
      <c r="G3" s="154"/>
      <c r="H3" s="45" t="s">
        <v>1600</v>
      </c>
      <c r="I3" s="155">
        <f>'0319 4度C'!F1</f>
        <v>4625178.9799999995</v>
      </c>
      <c r="J3" s="156"/>
      <c r="K3" s="46"/>
      <c r="L3" s="47"/>
      <c r="M3" s="47"/>
      <c r="N3" s="47"/>
    </row>
    <row r="4" spans="2:17" ht="28.5" customHeight="1">
      <c r="B4" s="157" t="s">
        <v>1601</v>
      </c>
      <c r="C4" s="143" t="s">
        <v>139</v>
      </c>
      <c r="D4" s="144"/>
      <c r="E4" s="160" t="s">
        <v>1602</v>
      </c>
      <c r="F4" s="161"/>
      <c r="G4" s="160" t="s">
        <v>1603</v>
      </c>
      <c r="H4" s="161"/>
      <c r="I4" s="160" t="s">
        <v>1604</v>
      </c>
      <c r="J4" s="161"/>
      <c r="K4" s="141" t="s">
        <v>1605</v>
      </c>
      <c r="L4" s="142"/>
      <c r="M4" s="142" t="s">
        <v>1606</v>
      </c>
      <c r="N4" s="142"/>
    </row>
    <row r="5" spans="2:17" ht="28.5" customHeight="1">
      <c r="B5" s="158"/>
      <c r="C5" s="143" t="s">
        <v>1607</v>
      </c>
      <c r="D5" s="144"/>
      <c r="E5" s="143" t="s">
        <v>1608</v>
      </c>
      <c r="F5" s="144"/>
      <c r="G5" s="145" t="s">
        <v>1609</v>
      </c>
      <c r="H5" s="146"/>
      <c r="I5" s="147" t="s">
        <v>1610</v>
      </c>
      <c r="J5" s="148"/>
      <c r="K5" s="48" t="s">
        <v>1611</v>
      </c>
      <c r="L5" s="49" t="s">
        <v>1612</v>
      </c>
      <c r="M5" s="48" t="s">
        <v>1613</v>
      </c>
      <c r="N5" s="49" t="s">
        <v>1614</v>
      </c>
    </row>
    <row r="6" spans="2:17" ht="28.5" customHeight="1">
      <c r="B6" s="158"/>
      <c r="C6" s="143" t="s">
        <v>153</v>
      </c>
      <c r="D6" s="144"/>
      <c r="E6" s="135">
        <f>AVERAGE(D13:M13)</f>
        <v>151.99632711795726</v>
      </c>
      <c r="F6" s="136">
        <f>AVERAGE(D31:O31,D13:J13)</f>
        <v>156.83361087470675</v>
      </c>
      <c r="G6" s="137">
        <f>AVERAGE(D13:J13)</f>
        <v>156.83361087470675</v>
      </c>
      <c r="H6" s="138"/>
      <c r="I6" s="137">
        <f>AVERAGE(K13:M13)</f>
        <v>140.70933168554168</v>
      </c>
      <c r="J6" s="138"/>
      <c r="K6" s="139">
        <f>'0319 4度C'!Y2</f>
        <v>0</v>
      </c>
      <c r="L6" s="124">
        <f>'0319 4度C'!Z2</f>
        <v>0</v>
      </c>
      <c r="M6" s="140">
        <f>'0319 4度C'!AC2</f>
        <v>49</v>
      </c>
      <c r="N6" s="124">
        <f>'0319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145.84182346211779</v>
      </c>
      <c r="F7" s="128">
        <f>AVERAGE(D32:O32,D14:J14)</f>
        <v>150.65811340923122</v>
      </c>
      <c r="G7" s="129">
        <f>AVERAGE(D14:J14)</f>
        <v>150.65811340923122</v>
      </c>
      <c r="H7" s="130"/>
      <c r="I7" s="129">
        <f>AVERAGE(K14:M14)</f>
        <v>134.60381358551976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0.95943003585108466</v>
      </c>
      <c r="F8" s="132">
        <f>AVERAGE(D15:J15,D33:O33)</f>
        <v>0.96062371263673563</v>
      </c>
      <c r="G8" s="133">
        <f>AVERAGE(D15:J15)</f>
        <v>0.96062371263673563</v>
      </c>
      <c r="H8" s="134"/>
      <c r="I8" s="133">
        <f>AVERAGE(K15:M15)</f>
        <v>0.95664479001789859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156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1615</v>
      </c>
      <c r="E10" s="110"/>
      <c r="F10" s="110"/>
      <c r="G10" s="110"/>
      <c r="H10" s="110"/>
      <c r="I10" s="110"/>
      <c r="J10" s="111"/>
      <c r="K10" s="112" t="s">
        <v>159</v>
      </c>
      <c r="L10" s="113"/>
      <c r="M10" s="114"/>
      <c r="P10" s="53"/>
      <c r="Q10" s="53"/>
    </row>
    <row r="11" spans="2:17" ht="17.25" customHeight="1">
      <c r="B11" s="115" t="s">
        <v>1616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1617</v>
      </c>
      <c r="C13" s="60" t="s">
        <v>1618</v>
      </c>
      <c r="D13" s="61">
        <f>SUMIFS('0319 4度C'!$K:$K,'0319 4度C'!$A:$A,"新豐6線",'0319 4度C'!$B:$B,"平均")</f>
        <v>111.11111111111111</v>
      </c>
      <c r="E13" s="62">
        <f>SUMIFS('0319 4度C'!$K:$K,'0319 4度C'!$A:$A,"新豐2線",'0319 4度C'!$B:$B,"平均")</f>
        <v>83.333333333333329</v>
      </c>
      <c r="F13" s="63">
        <f>SUMIFS('0319 4度C'!$K:$K,'0319 4度C'!$A:$A,"新豐5線",'0319 4度C'!$B:$B,"平均")</f>
        <v>102.73972602739725</v>
      </c>
      <c r="G13" s="63">
        <f>SUMIFS('0319 4度C'!$K:$K,'0319 4度C'!$A:$A,"新豐7線",'0319 4度C'!$B:$B,"平均")</f>
        <v>128.37837837837839</v>
      </c>
      <c r="H13" s="63">
        <f>SUMIFS('0319 4度C'!$K:$K,'0319 4度C'!$A:$A,"新豐3線",'0319 4度C'!$B:$B,"平均")</f>
        <v>320</v>
      </c>
      <c r="I13" s="63">
        <f>SUMIFS('0319 4度C'!$K:$K,'0319 4度C'!$A:$A,"新豐1線",'0319 4度C'!$B:$B,"平均")</f>
        <v>102.27272727272728</v>
      </c>
      <c r="J13" s="64">
        <f>SUMIFS('0319 4度C'!$K:$K,'0319 4度C'!$A:$A,"新豐10線",'0319 4度C'!$B:$B,"平均")</f>
        <v>250</v>
      </c>
      <c r="K13" s="65">
        <f>SUMIFS('0319 4度C'!$K:$K,'0319 4度C'!$A:$A,"新豐8線",'0319 4度C'!$B:$B,"平均")</f>
        <v>130.43478260869566</v>
      </c>
      <c r="L13" s="66">
        <f>SUMIFS('0319 4度C'!$K:$K,'0319 4度C'!$A:$A,"新豐9線",'0319 4度C'!$B:$B,"平均")</f>
        <v>135.84905660377356</v>
      </c>
      <c r="M13" s="64">
        <f>SUMIFS('0319 4度C'!$K:$K,'0319 4度C'!$A:$A,"新豐4線",'0319 4度C'!$B:$B,"平均")</f>
        <v>155.84415584415584</v>
      </c>
    </row>
    <row r="14" spans="2:17" ht="39.6" customHeight="1">
      <c r="B14" s="120"/>
      <c r="C14" s="67" t="s">
        <v>1619</v>
      </c>
      <c r="D14" s="68">
        <f>SUMIFS('0319 4度C'!$N:$N,'0319 4度C'!$A:$A,"新豐6線",'0319 4度C'!$B:$B,"平均")</f>
        <v>107.8925150519978</v>
      </c>
      <c r="E14" s="69">
        <f>SUMIFS('0319 4度C'!$N:$N,'0319 4度C'!$A:$A,"新豐2線",'0319 4度C'!$B:$B,"平均")</f>
        <v>79.727169382341785</v>
      </c>
      <c r="F14" s="69">
        <f>SUMIFS('0319 4度C'!$N:$N,'0319 4度C'!$A:$A,"新豐5線",'0319 4度C'!$B:$B,"平均")</f>
        <v>98.743083051052409</v>
      </c>
      <c r="G14" s="69">
        <f>SUMIFS('0319 4度C'!$N:$N,'0319 4度C'!$A:$A,"新豐7線",'0319 4度C'!$B:$B,"平均")</f>
        <v>123.8020080787938</v>
      </c>
      <c r="H14" s="69">
        <f>SUMIFS('0319 4度C'!$N:$N,'0319 4度C'!$A:$A,"新豐3線",'0319 4度C'!$B:$B,"平均")</f>
        <v>307.20688876186665</v>
      </c>
      <c r="I14" s="69">
        <f>SUMIFS('0319 4度C'!$N:$N,'0319 4度C'!$A:$A,"新豐1線",'0319 4度C'!$B:$B,"平均")</f>
        <v>97.302712359267048</v>
      </c>
      <c r="J14" s="70">
        <f>SUMIFS('0319 4度C'!$N:$N,'0319 4度C'!$A:$A,"新豐10線",'0319 4度C'!$B:$B,"平均")</f>
        <v>239.93241717929902</v>
      </c>
      <c r="K14" s="71">
        <f>SUMIFS('0319 4度C'!$N:$N,'0319 4度C'!$A:$A,"新豐8線",'0319 4度C'!$B:$B,"平均")</f>
        <v>124.80306612582031</v>
      </c>
      <c r="L14" s="72">
        <f>SUMIFS('0319 4度C'!$N:$N,'0319 4度C'!$A:$A,"新豐9線",'0319 4度C'!$B:$B,"平均")</f>
        <v>130.0310744560569</v>
      </c>
      <c r="M14" s="70">
        <f>SUMIFS('0319 4度C'!$N:$N,'0319 4度C'!$A:$A,"新豐4線",'0319 4度C'!$B:$B,"平均")</f>
        <v>148.97730017468203</v>
      </c>
    </row>
    <row r="15" spans="2:17" ht="40.15" customHeight="1">
      <c r="B15" s="121"/>
      <c r="C15" s="73" t="s">
        <v>1620</v>
      </c>
      <c r="D15" s="74">
        <f t="shared" ref="D15:M15" si="0">D14/D13</f>
        <v>0.97103263546798024</v>
      </c>
      <c r="E15" s="75">
        <f t="shared" si="0"/>
        <v>0.95672603258810152</v>
      </c>
      <c r="F15" s="75">
        <f t="shared" si="0"/>
        <v>0.96109934169691014</v>
      </c>
      <c r="G15" s="75">
        <f t="shared" si="0"/>
        <v>0.96435248398218321</v>
      </c>
      <c r="H15" s="75">
        <f t="shared" si="0"/>
        <v>0.96002152738083324</v>
      </c>
      <c r="I15" s="75">
        <f t="shared" si="0"/>
        <v>0.95140429862394438</v>
      </c>
      <c r="J15" s="76">
        <f t="shared" si="0"/>
        <v>0.95972966871719612</v>
      </c>
      <c r="K15" s="74">
        <f t="shared" si="0"/>
        <v>0.95682350696462237</v>
      </c>
      <c r="L15" s="75">
        <f t="shared" si="0"/>
        <v>0.95717318696819675</v>
      </c>
      <c r="M15" s="76">
        <f t="shared" si="0"/>
        <v>0.95593767612087643</v>
      </c>
    </row>
    <row r="16" spans="2:17" ht="17.25" customHeight="1">
      <c r="B16" s="122" t="s">
        <v>1621</v>
      </c>
      <c r="C16" s="77" t="s">
        <v>176</v>
      </c>
      <c r="D16" s="78">
        <f>VLOOKUP("新豐6線",'0319 4度C'!$A:$T,19,0)</f>
        <v>0.70833333333333337</v>
      </c>
      <c r="E16" s="79">
        <f>VLOOKUP("新豐2線",'0319 4度C'!$A:$T,19,0)</f>
        <v>0.20833333333333334</v>
      </c>
      <c r="F16" s="79">
        <f>VLOOKUP("新豐5線",'0319 4度C'!$A:$T,19,0)</f>
        <v>0.20833333333333334</v>
      </c>
      <c r="G16" s="79">
        <f>VLOOKUP("新豐7線",'0319 4度C'!$A:$T,19,0)</f>
        <v>0.20833333333333334</v>
      </c>
      <c r="H16" s="79">
        <f>VLOOKUP("新豐3線",'0319 4度C'!$A:$T,19,0)</f>
        <v>8.3333333333333329E-2</v>
      </c>
      <c r="I16" s="79">
        <f>VLOOKUP("新豐1線",'0319 4度C'!$A:$T,19,0)</f>
        <v>0.20833333333333334</v>
      </c>
      <c r="J16" s="80">
        <f>VLOOKUP("新豐10線",'0319 4度C'!$A:$T,19,0)</f>
        <v>0.20833333333333334</v>
      </c>
      <c r="K16" s="81">
        <f>VLOOKUP("新豐8線",'0319 4度C'!$A:$T,19,0)</f>
        <v>8.3333333333333329E-2</v>
      </c>
      <c r="L16" s="82">
        <f>VLOOKUP("新豐9線",'0319 4度C'!$A:$T,19,0)</f>
        <v>8.3333333333333329E-2</v>
      </c>
      <c r="M16" s="83">
        <f>VLOOKUP("新豐4線",'0319 4度C'!$A:$T,19,0)</f>
        <v>8.3333333333333329E-2</v>
      </c>
    </row>
    <row r="17" spans="2:13" ht="17.25" customHeight="1">
      <c r="B17" s="123"/>
      <c r="C17" s="77" t="s">
        <v>177</v>
      </c>
      <c r="D17" s="81">
        <f>LOOKUP(2,1/(('0319 4度C'!$A:$A="新豐6線")*('0319 4度C'!$T:$T&lt;&gt;"")),'0319 4度C'!$T:$T)</f>
        <v>0.80138888888888893</v>
      </c>
      <c r="E17" s="79">
        <f>LOOKUP(2,1/(('0319 4度C'!$A:$A="新豐2線")*('0319 4度C'!$T:$T&lt;&gt;"")),'0319 4度C'!$T:$T)</f>
        <v>0.5229166666666667</v>
      </c>
      <c r="F17" s="79">
        <f>LOOKUP(2,1/(('0319 4度C'!$A:$A="新豐5線")*('0319 4度C'!$T:$T&lt;&gt;"")),'0319 4度C'!$T:$T)</f>
        <v>0.8076388888888888</v>
      </c>
      <c r="G17" s="79">
        <f>LOOKUP(2,1/(('0319 4度C'!$A:$A="新豐7線")*('0319 4度C'!$T:$T&lt;&gt;"")),'0319 4度C'!$T:$T)</f>
        <v>0.82152777777777775</v>
      </c>
      <c r="H17" s="79">
        <f>LOOKUP(2,1/(('0319 4度C'!$A:$A="新豐3線")*('0319 4度C'!$T:$T&lt;&gt;"")),'0319 4度C'!$T:$T)</f>
        <v>0.56527777777777766</v>
      </c>
      <c r="I17" s="79">
        <f>LOOKUP(2,1/(('0319 4度C'!$A:$A="新豐1線")*('0319 4度C'!$T:$T&lt;&gt;"")),'0319 4度C'!$T:$T)</f>
        <v>0.82916666666666672</v>
      </c>
      <c r="J17" s="80">
        <f>LOOKUP(2,1/(('0319 4度C'!$A:$A="新豐10線")*('0319 4度C'!$T:$T&lt;&gt;"")),'0319 4度C'!$T:$T)</f>
        <v>0.33750000000000002</v>
      </c>
      <c r="K17" s="78">
        <f>LOOKUP(2,1/(('0319 4度C'!$A:$A="新豐8線")*('0319 4度C'!$T:$T&lt;&gt;"")),'0319 4度C'!$T:$T)</f>
        <v>0.52152777777777781</v>
      </c>
      <c r="L17" s="79">
        <f>LOOKUP(2,1/(('0319 4度C'!$A:$A="新豐9線")*('0319 4度C'!$T:$T&lt;&gt;"")),'0319 4度C'!$T:$T)</f>
        <v>0.6</v>
      </c>
      <c r="M17" s="80">
        <f>LOOKUP(2,1/(('0319 4度C'!$A:$A="新豐4線")*('0319 4度C'!$T:$T&lt;&gt;"")),'0319 4度C'!$T:$T)</f>
        <v>0.51805555555555549</v>
      </c>
    </row>
    <row r="18" spans="2:13" ht="17.25" customHeight="1">
      <c r="B18" s="101" t="s">
        <v>1622</v>
      </c>
      <c r="C18" s="84" t="s">
        <v>1623</v>
      </c>
      <c r="D18" s="85">
        <f>SUMIFS('0319 4度C'!$Y:$Y,'0319 4度C'!$A:$A,"新豐6線",'0319 4度C'!$B:$B,"平均")</f>
        <v>0</v>
      </c>
      <c r="E18" s="86">
        <f>SUMIFS('0319 4度C'!$Y:$Y,'0319 4度C'!$A:$A,"新豐2線",'0319 4度C'!$B:$B,"平均")</f>
        <v>0</v>
      </c>
      <c r="F18" s="86">
        <f>SUMIFS('0319 4度C'!$Y:$Y,'0319 4度C'!$A:$A,"新豐5線",'0319 4度C'!$B:$B,"平均")</f>
        <v>0</v>
      </c>
      <c r="G18" s="86">
        <f>SUMIFS('0319 4度C'!$Y:$Y,'0319 4度C'!$A:$A,"新豐7線",'0319 4度C'!$B:$B,"平均")</f>
        <v>0</v>
      </c>
      <c r="H18" s="86">
        <f>SUMIFS('0319 4度C'!$Y:$Y,'0319 4度C'!$A:$A,"新豐3線",'0319 4度C'!$B:$B,"平均")</f>
        <v>0</v>
      </c>
      <c r="I18" s="86">
        <f>SUMIFS('0319 4度C'!$Y:$Y,'0319 4度C'!$A:$A,"新豐1線",'0319 4度C'!$B:$B,"平均")</f>
        <v>0</v>
      </c>
      <c r="J18" s="87">
        <f>SUMIFS('0319 4度C'!$Y:$Y,'0319 4度C'!$A:$A,"新豐10線",'0319 4度C'!$B:$B,"平均")</f>
        <v>0</v>
      </c>
      <c r="K18" s="88">
        <f>SUMIFS('0319 4度C'!$Y:$Y,'0319 4度C'!$A:$A,"新豐8線",'0319 4度C'!$B:$B,"平均")</f>
        <v>0</v>
      </c>
      <c r="L18" s="86">
        <f>SUMIFS('0319 4度C'!$Y:$Y,'0319 4度C'!$A:$A,"新豐9線",'0319 4度C'!$B:$B,"平均")</f>
        <v>0</v>
      </c>
      <c r="M18" s="87">
        <f>SUMIFS('0319 4度C'!$Y:$Y,'0319 4度C'!$A:$A,"新豐4線",'0319 4度C'!$B:$B,"平均")</f>
        <v>0</v>
      </c>
    </row>
    <row r="19" spans="2:13" ht="17.25" customHeight="1">
      <c r="B19" s="102"/>
      <c r="C19" s="84" t="s">
        <v>1624</v>
      </c>
      <c r="D19" s="85">
        <f>SUMIFS('0319 4度C'!$Z:$Z,'0319 4度C'!$A:$A,"新豐6線",'0319 4度C'!$B:$B,"平均")</f>
        <v>0</v>
      </c>
      <c r="E19" s="86">
        <f>SUMIFS('0319 4度C'!$Z:$Z,'0319 4度C'!$A:$A,"新豐2線",'0319 4度C'!$B:$B,"平均")</f>
        <v>0</v>
      </c>
      <c r="F19" s="86">
        <f>SUMIFS('0319 4度C'!$Z:$Z,'0319 4度C'!$A:$A,"新豐5線",'0319 4度C'!$B:$B,"平均")</f>
        <v>0</v>
      </c>
      <c r="G19" s="86">
        <f>SUMIFS('0319 4度C'!$Z:$Z,'0319 4度C'!$A:$A,"新豐7線",'0319 4度C'!$B:$B,"平均")</f>
        <v>0</v>
      </c>
      <c r="H19" s="86">
        <f>SUMIFS('0319 4度C'!$Z:$Z,'0319 4度C'!$A:$A,"新豐3線",'0319 4度C'!$B:$B,"平均")</f>
        <v>0</v>
      </c>
      <c r="I19" s="86">
        <f>SUMIFS('0319 4度C'!$Z:$Z,'0319 4度C'!$A:$A,"新豐1線",'0319 4度C'!$B:$B,"平均")</f>
        <v>0</v>
      </c>
      <c r="J19" s="87">
        <f>SUMIFS('0319 4度C'!$Z:$Z,'0319 4度C'!$A:$A,"新豐10線",'0319 4度C'!$B:$B,"平均")</f>
        <v>0</v>
      </c>
      <c r="K19" s="88">
        <f>SUMIFS('0319 4度C'!$Z:$Z,'0319 4度C'!$A:$A,"新豐8線",'0319 4度C'!$B:$B,"平均")</f>
        <v>0</v>
      </c>
      <c r="L19" s="86">
        <f>SUMIFS('0319 4度C'!$Z:$Z,'0319 4度C'!$A:$A,"新豐9線",'0319 4度C'!$B:$B,"平均")</f>
        <v>0</v>
      </c>
      <c r="M19" s="87">
        <f>SUMIFS('0319 4度C'!$Z:$Z,'0319 4度C'!$A:$A,"新豐4線",'0319 4度C'!$B:$B,"平均")</f>
        <v>0</v>
      </c>
    </row>
    <row r="20" spans="2:13" ht="17.25" customHeight="1">
      <c r="B20" s="101" t="s">
        <v>1625</v>
      </c>
      <c r="C20" s="84" t="s">
        <v>1623</v>
      </c>
      <c r="D20" s="85">
        <f>SUMIFS('0319 4度C'!$AC:$AC,'0319 4度C'!$A:$A,"新豐6線",'0319 4度C'!$B:$B,"平均")</f>
        <v>4</v>
      </c>
      <c r="E20" s="86">
        <f>SUMIFS('0319 4度C'!$AC:$AC,'0319 4度C'!$A:$A,"新豐2線",'0319 4度C'!$B:$B,"平均")</f>
        <v>2</v>
      </c>
      <c r="F20" s="86">
        <f>SUMIFS('0319 4度C'!$AC:$AC,'0319 4度C'!$A:$A,"新豐5線",'0319 4度C'!$B:$B,"平均")</f>
        <v>4</v>
      </c>
      <c r="G20" s="86">
        <f>SUMIFS('0319 4度C'!$AC:$AC,'0319 4度C'!$A:$A,"新豐7線",'0319 4度C'!$B:$B,"平均")</f>
        <v>5</v>
      </c>
      <c r="H20" s="86">
        <f>SUMIFS('0319 4度C'!$AC:$AC,'0319 4度C'!$A:$A,"新豐3線",'0319 4度C'!$B:$B,"平均")</f>
        <v>8</v>
      </c>
      <c r="I20" s="86">
        <f>SUMIFS('0319 4度C'!$AC:$AC,'0319 4度C'!$A:$A,"新豐1線",'0319 4度C'!$B:$B,"平均")</f>
        <v>7</v>
      </c>
      <c r="J20" s="87">
        <f>SUMIFS('0319 4度C'!$AC:$AC,'0319 4度C'!$A:$A,"新豐10線",'0319 4度C'!$B:$B,"平均")</f>
        <v>3</v>
      </c>
      <c r="K20" s="88">
        <f>SUMIFS('0319 4度C'!$AC:$AC,'0319 4度C'!$A:$A,"新豐8線",'0319 4度C'!$B:$B,"平均")</f>
        <v>5</v>
      </c>
      <c r="L20" s="86">
        <f>SUMIFS('0319 4度C'!$AC:$AC,'0319 4度C'!$A:$A,"新豐9線",'0319 4度C'!$B:$B,"平均")</f>
        <v>6</v>
      </c>
      <c r="M20" s="87">
        <f>SUMIFS('0319 4度C'!$AC:$AC,'0319 4度C'!$A:$A,"新豐4線",'0319 4度C'!$B:$B,"平均")</f>
        <v>5</v>
      </c>
    </row>
    <row r="21" spans="2:13" ht="17.25" customHeight="1">
      <c r="B21" s="102"/>
      <c r="C21" s="84" t="s">
        <v>1626</v>
      </c>
      <c r="D21" s="85">
        <f>SUMIFS('0319 4度C'!$AD:$AD,'0319 4度C'!$A:$A,"新豐6線",'0319 4度C'!$B:$B,"平均")</f>
        <v>0</v>
      </c>
      <c r="E21" s="86">
        <f>SUMIFS('0319 4度C'!$AD:$AD,'0319 4度C'!$A:$A,"新豐2線",'0319 4度C'!$B:$B,"平均")</f>
        <v>0</v>
      </c>
      <c r="F21" s="86">
        <f>SUMIFS('0319 4度C'!$AD:$AD,'0319 4度C'!$A:$A,"新豐5線",'0319 4度C'!$B:$B,"平均")</f>
        <v>0</v>
      </c>
      <c r="G21" s="86">
        <f>SUMIFS('0319 4度C'!$AD:$AD,'0319 4度C'!$A:$A,"新豐7線",'0319 4度C'!$B:$B,"平均")</f>
        <v>0</v>
      </c>
      <c r="H21" s="86">
        <f>SUMIFS('0319 4度C'!$AD:$AD,'0319 4度C'!$A:$A,"新豐3線",'0319 4度C'!$B:$B,"平均")</f>
        <v>0</v>
      </c>
      <c r="I21" s="86">
        <f>SUMIFS('0319 4度C'!$AD:$AD,'0319 4度C'!$A:$A,"新豐1線",'0319 4度C'!$B:$B,"平均")</f>
        <v>0</v>
      </c>
      <c r="J21" s="87">
        <f>SUMIFS('0319 4度C'!$AD:$AD,'0319 4度C'!$A:$A,"新豐10線",'0319 4度C'!$B:$B,"平均")</f>
        <v>0</v>
      </c>
      <c r="K21" s="88">
        <f>SUMIFS('0319 4度C'!$AD:$AD,'0319 4度C'!$A:$A,"新豐8線",'0319 4度C'!$B:$B,"平均")</f>
        <v>0</v>
      </c>
      <c r="L21" s="86">
        <f>SUMIFS('0319 4度C'!$AD:$AD,'0319 4度C'!$A:$A,"新豐9線",'0319 4度C'!$B:$B,"平均")</f>
        <v>0</v>
      </c>
      <c r="M21" s="87">
        <f>SUMIFS('0319 4度C'!$AD:$AD,'0319 4度C'!$A:$A,"新豐4線",'0319 4度C'!$B:$B,"平均")</f>
        <v>0</v>
      </c>
    </row>
    <row r="22" spans="2:13" ht="17.25" customHeight="1">
      <c r="B22" s="103" t="s">
        <v>1627</v>
      </c>
      <c r="C22" s="104"/>
      <c r="D22" s="89">
        <f>SUMIFS('0319 4度C'!$I:$I,'0319 4度C'!$A:$A,"新豐6線",'0319 4度C'!$B:$B,"平均")</f>
        <v>18</v>
      </c>
      <c r="E22" s="90">
        <f>SUMIFS('0319 4度C'!$I:$I,'0319 4度C'!$A:$A,"新豐2線",'0319 4度C'!$B:$B,"平均")</f>
        <v>18</v>
      </c>
      <c r="F22" s="90">
        <f>SUMIFS('0319 4度C'!$I:$I,'0319 4度C'!$A:$A,"新豐5線",'0319 4度C'!$B:$B,"平均")</f>
        <v>18.25</v>
      </c>
      <c r="G22" s="90">
        <f>SUMIFS('0319 4度C'!$I:$I,'0319 4度C'!$A:$A,"新豐7線",'0319 4度C'!$B:$B,"平均")</f>
        <v>14.8</v>
      </c>
      <c r="H22" s="90">
        <f>SUMIFS('0319 4度C'!$I:$I,'0319 4度C'!$A:$A,"新豐3線",'0319 4度C'!$B:$B,"平均")</f>
        <v>9.375</v>
      </c>
      <c r="I22" s="90">
        <f>SUMIFS('0319 4度C'!$I:$I,'0319 4度C'!$A:$A,"新豐1線",'0319 4度C'!$B:$B,"平均")</f>
        <v>18.857142857142858</v>
      </c>
      <c r="J22" s="91">
        <f>SUMIFS('0319 4度C'!$I:$I,'0319 4度C'!$A:$A,"新豐10線",'0319 4度C'!$B:$B,"平均")</f>
        <v>10.666666666666666</v>
      </c>
      <c r="K22" s="89">
        <f>SUMIFS('0319 4度C'!$I:$I,'0319 4度C'!$A:$A,"新豐8線",'0319 4度C'!$B:$B,"平均")</f>
        <v>18.399999999999999</v>
      </c>
      <c r="L22" s="90">
        <f>SUMIFS('0319 4度C'!$I:$I,'0319 4度C'!$A:$A,"新豐9線",'0319 4度C'!$B:$B,"平均")</f>
        <v>17.666666666666668</v>
      </c>
      <c r="M22" s="91">
        <f>SUMIFS('0319 4度C'!$I:$I,'0319 4度C'!$A:$A,"新豐4線",'0319 4度C'!$B:$B,"平均")</f>
        <v>15.4</v>
      </c>
    </row>
    <row r="23" spans="2:13" ht="17.25" customHeight="1">
      <c r="B23" s="103" t="s">
        <v>1628</v>
      </c>
      <c r="C23" s="104"/>
      <c r="D23" s="92" t="s">
        <v>185</v>
      </c>
      <c r="E23" s="93" t="s">
        <v>186</v>
      </c>
      <c r="F23" s="93" t="s">
        <v>1629</v>
      </c>
      <c r="G23" s="93" t="s">
        <v>1629</v>
      </c>
      <c r="H23" s="93" t="s">
        <v>188</v>
      </c>
      <c r="I23" s="93" t="s">
        <v>185</v>
      </c>
      <c r="J23" s="94" t="s">
        <v>188</v>
      </c>
      <c r="K23" s="92" t="s">
        <v>1630</v>
      </c>
      <c r="L23" s="93" t="s">
        <v>1630</v>
      </c>
      <c r="M23" s="94" t="s">
        <v>1630</v>
      </c>
    </row>
    <row r="24" spans="2:13" ht="17.25" customHeight="1">
      <c r="B24" s="103" t="s">
        <v>1631</v>
      </c>
      <c r="C24" s="104"/>
      <c r="D24" s="92"/>
      <c r="E24" s="93"/>
      <c r="F24" s="93" t="s">
        <v>1632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1633</v>
      </c>
      <c r="C25" s="106"/>
      <c r="D25" s="95"/>
      <c r="E25" s="96" t="s">
        <v>1634</v>
      </c>
      <c r="F25" s="99" t="s">
        <v>1635</v>
      </c>
      <c r="G25" s="100"/>
      <c r="H25" s="96" t="s">
        <v>1636</v>
      </c>
      <c r="I25" s="96" t="s">
        <v>1637</v>
      </c>
      <c r="J25" s="97" t="s">
        <v>1636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13">
    <pageSetUpPr fitToPage="1"/>
  </sheetPr>
  <dimension ref="A1:AG64"/>
  <sheetViews>
    <sheetView zoomScale="80" zoomScaleNormal="80" workbookViewId="0">
      <pane ySplit="4" topLeftCell="A5" activePane="bottomLeft" state="frozen"/>
      <selection activeCell="E8" sqref="E8:F8"/>
      <selection pane="bottomLeft" activeCell="E8" sqref="E8:F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1638</v>
      </c>
      <c r="B1" s="1"/>
      <c r="C1" s="2" t="s">
        <v>1639</v>
      </c>
      <c r="D1" s="3">
        <f>SUM(F5:F63)</f>
        <v>142848</v>
      </c>
      <c r="E1" s="4" t="s">
        <v>247</v>
      </c>
      <c r="F1" s="1">
        <f>SUM(G5:G63)</f>
        <v>4625178.9799999995</v>
      </c>
      <c r="G1" s="1" t="s">
        <v>1640</v>
      </c>
      <c r="H1" s="5">
        <f>L9+L12+L45+L53+L17+L57+L29+L36+L23+L63</f>
        <v>159.4154761904762</v>
      </c>
      <c r="I1" s="212" t="s">
        <v>1641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7</v>
      </c>
      <c r="T1" s="212"/>
      <c r="U1" s="212"/>
      <c r="V1" s="212"/>
      <c r="W1" s="212"/>
      <c r="X1" s="212"/>
      <c r="Y1" s="6" t="s">
        <v>8</v>
      </c>
      <c r="Z1" s="7" t="s">
        <v>1642</v>
      </c>
      <c r="AA1" s="213" t="s">
        <v>10</v>
      </c>
      <c r="AB1" s="213"/>
      <c r="AC1" s="42" t="s">
        <v>8</v>
      </c>
      <c r="AD1" s="7" t="s">
        <v>1643</v>
      </c>
      <c r="AE1" s="212" t="s">
        <v>257</v>
      </c>
      <c r="AF1" s="214"/>
      <c r="AG1" s="214"/>
    </row>
    <row r="2" spans="1:33" ht="26.25" customHeight="1">
      <c r="A2" s="33">
        <v>46100</v>
      </c>
      <c r="B2" s="34" t="s">
        <v>564</v>
      </c>
      <c r="C2" s="2" t="s">
        <v>13</v>
      </c>
      <c r="D2" s="9">
        <f>AVERAGE(N9,N12,N45,N53,N17,N57,N23,N29,N36,N63)</f>
        <v>145.84182346211779</v>
      </c>
      <c r="E2" s="10" t="s">
        <v>14</v>
      </c>
      <c r="F2" s="11">
        <f>F1/D1</f>
        <v>32.378325072804657</v>
      </c>
      <c r="G2" s="1" t="s">
        <v>259</v>
      </c>
      <c r="H2" s="12">
        <f>COUNT(H5:H63)</f>
        <v>2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SUM(Y9+Y12+Y17+Y23+Y29+Y36+Y45+Y53+Y57+Y63)</f>
        <v>0</v>
      </c>
      <c r="Z2" s="13">
        <f>SUM(Z9+Z12+Z17+Z23+Z29+Z36+Z45+Z53+Z57+Z63)</f>
        <v>0</v>
      </c>
      <c r="AA2" s="213"/>
      <c r="AB2" s="213"/>
      <c r="AC2" s="13">
        <f>SUM(AC9+AC12+AC17+AC23+AC29+AC36+AC45+AC53+AC57+AC63)</f>
        <v>49</v>
      </c>
      <c r="AD2" s="13">
        <f>SUM(AD9+AD12+AD17+AD23+AD29+AD36+AD45+AD53+AD57+AD63)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261</v>
      </c>
      <c r="C3" s="162" t="s">
        <v>1644</v>
      </c>
      <c r="D3" s="162"/>
      <c r="E3" s="210" t="s">
        <v>1645</v>
      </c>
      <c r="F3" s="162" t="s">
        <v>20</v>
      </c>
      <c r="G3" s="210" t="s">
        <v>265</v>
      </c>
      <c r="H3" s="204" t="s">
        <v>22</v>
      </c>
      <c r="I3" s="202" t="s">
        <v>1646</v>
      </c>
      <c r="J3" s="199" t="s">
        <v>1647</v>
      </c>
      <c r="K3" s="209" t="s">
        <v>13</v>
      </c>
      <c r="L3" s="202" t="s">
        <v>1646</v>
      </c>
      <c r="M3" s="199" t="s">
        <v>24</v>
      </c>
      <c r="N3" s="209" t="s">
        <v>1648</v>
      </c>
      <c r="O3" s="202" t="s">
        <v>1646</v>
      </c>
      <c r="P3" s="209" t="s">
        <v>1648</v>
      </c>
      <c r="Q3" s="200" t="s">
        <v>1649</v>
      </c>
      <c r="R3" s="178" t="s">
        <v>26</v>
      </c>
      <c r="S3" s="162" t="s">
        <v>27</v>
      </c>
      <c r="T3" s="162"/>
      <c r="U3" s="204" t="s">
        <v>28</v>
      </c>
      <c r="V3" s="204" t="s">
        <v>1650</v>
      </c>
      <c r="W3" s="162" t="s">
        <v>1651</v>
      </c>
      <c r="X3" s="162"/>
      <c r="Y3" s="205" t="s">
        <v>31</v>
      </c>
      <c r="Z3" s="166"/>
      <c r="AA3" s="206" t="s">
        <v>1652</v>
      </c>
      <c r="AB3" s="207"/>
      <c r="AC3" s="205" t="s">
        <v>1653</v>
      </c>
      <c r="AD3" s="166"/>
      <c r="AE3" s="199" t="s">
        <v>1654</v>
      </c>
      <c r="AF3" s="200" t="s">
        <v>1649</v>
      </c>
      <c r="AG3" s="178" t="s">
        <v>1655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1656</v>
      </c>
      <c r="X4" s="4" t="s">
        <v>1657</v>
      </c>
      <c r="Y4" s="14" t="s">
        <v>1658</v>
      </c>
      <c r="Z4" s="14" t="s">
        <v>1659</v>
      </c>
      <c r="AA4" s="208"/>
      <c r="AB4" s="207"/>
      <c r="AC4" s="14" t="s">
        <v>1660</v>
      </c>
      <c r="AD4" s="14" t="s">
        <v>44</v>
      </c>
      <c r="AE4" s="199"/>
      <c r="AF4" s="200"/>
      <c r="AG4" s="178"/>
    </row>
    <row r="5" spans="1:33">
      <c r="A5" s="201" t="s">
        <v>1661</v>
      </c>
      <c r="B5" s="35" t="s">
        <v>78</v>
      </c>
      <c r="C5" s="203" t="s">
        <v>79</v>
      </c>
      <c r="D5" s="203"/>
      <c r="E5" s="35">
        <v>50.67</v>
      </c>
      <c r="F5" s="4">
        <v>1134</v>
      </c>
      <c r="G5" s="4">
        <f t="shared" ref="G5:G8" si="0">E5*F5</f>
        <v>57459.78</v>
      </c>
      <c r="H5" s="21" t="s">
        <v>133</v>
      </c>
      <c r="I5" s="15">
        <v>17</v>
      </c>
      <c r="J5" s="17">
        <v>2000</v>
      </c>
      <c r="K5" s="16">
        <f t="shared" ref="K5:K63" si="1">J5/I5</f>
        <v>117.64705882352941</v>
      </c>
      <c r="L5" s="15">
        <v>17</v>
      </c>
      <c r="M5" s="17">
        <f t="shared" ref="M5:M8" si="2">F5/V5*60</f>
        <v>1943.9999999999982</v>
      </c>
      <c r="N5" s="16">
        <f t="shared" ref="N5:N63" si="3">M5/L5</f>
        <v>114.35294117647048</v>
      </c>
      <c r="O5" s="18">
        <f t="shared" ref="O5:O63" si="4">L5-I5</f>
        <v>0</v>
      </c>
      <c r="P5" s="19">
        <f t="shared" ref="P5:P63" si="5">N5-K5</f>
        <v>-3.2941176470589255</v>
      </c>
      <c r="Q5" s="20">
        <f t="shared" ref="Q5:Q63" si="6">N5/K5</f>
        <v>0.97199999999999909</v>
      </c>
      <c r="R5" s="170">
        <f>Q9</f>
        <v>0.97103263546798024</v>
      </c>
      <c r="S5" s="27">
        <v>0.70833333333333337</v>
      </c>
      <c r="T5" s="27">
        <v>0.73263888888888895</v>
      </c>
      <c r="U5" s="4"/>
      <c r="V5" s="21">
        <f t="shared" ref="V5:V8" si="7">(T5-S5)*24*60</f>
        <v>35.000000000000036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2" si="8">M5-J5</f>
        <v>-56.000000000001819</v>
      </c>
      <c r="AF5" s="20">
        <f t="shared" ref="AF5:AF63" si="9">M5/J5</f>
        <v>0.97199999999999909</v>
      </c>
      <c r="AG5" s="170">
        <f>AF9</f>
        <v>0.97103263546798035</v>
      </c>
    </row>
    <row r="6" spans="1:33">
      <c r="A6" s="202" t="s">
        <v>45</v>
      </c>
      <c r="B6" s="35" t="s">
        <v>78</v>
      </c>
      <c r="C6" s="203" t="s">
        <v>80</v>
      </c>
      <c r="D6" s="203"/>
      <c r="E6" s="35">
        <v>54.09</v>
      </c>
      <c r="F6" s="4">
        <v>938</v>
      </c>
      <c r="G6" s="4">
        <f t="shared" si="0"/>
        <v>50736.420000000006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1940.6896551724099</v>
      </c>
      <c r="N6" s="16">
        <f t="shared" si="3"/>
        <v>102.14156079854789</v>
      </c>
      <c r="O6" s="18">
        <f t="shared" si="4"/>
        <v>0</v>
      </c>
      <c r="P6" s="19">
        <f t="shared" si="5"/>
        <v>-3.1215970961889496</v>
      </c>
      <c r="Q6" s="20">
        <f t="shared" si="6"/>
        <v>0.97034482758620499</v>
      </c>
      <c r="R6" s="170"/>
      <c r="S6" s="27">
        <v>0.7368055555555556</v>
      </c>
      <c r="T6" s="27">
        <v>0.75694444444444453</v>
      </c>
      <c r="U6" s="4">
        <f t="shared" ref="U6:U8" si="10">IF(S6=TIME(17,0,0),"",(S6-T5)*24*60)</f>
        <v>5.9999999999999787</v>
      </c>
      <c r="V6" s="21">
        <f t="shared" si="7"/>
        <v>29.000000000000057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-59.310344827590143</v>
      </c>
      <c r="AF6" s="20">
        <f t="shared" si="9"/>
        <v>0.97034482758620488</v>
      </c>
      <c r="AG6" s="170"/>
    </row>
    <row r="7" spans="1:33">
      <c r="A7" s="202" t="s">
        <v>1662</v>
      </c>
      <c r="B7" s="35" t="s">
        <v>78</v>
      </c>
      <c r="C7" s="197" t="s">
        <v>82</v>
      </c>
      <c r="D7" s="198"/>
      <c r="E7" s="35">
        <v>50.67</v>
      </c>
      <c r="F7" s="4">
        <v>262</v>
      </c>
      <c r="G7" s="4">
        <f t="shared" si="0"/>
        <v>13275.54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1965.0000000000068</v>
      </c>
      <c r="N7" s="16">
        <f t="shared" si="3"/>
        <v>93.571428571428896</v>
      </c>
      <c r="O7" s="18">
        <f t="shared" si="4"/>
        <v>0</v>
      </c>
      <c r="P7" s="19">
        <f t="shared" si="5"/>
        <v>-1.6666666666663446</v>
      </c>
      <c r="Q7" s="20">
        <f t="shared" si="6"/>
        <v>0.98250000000000337</v>
      </c>
      <c r="R7" s="170"/>
      <c r="S7" s="27">
        <v>0.76111111111111118</v>
      </c>
      <c r="T7" s="27">
        <v>0.76666666666666672</v>
      </c>
      <c r="U7" s="4">
        <f t="shared" si="10"/>
        <v>5.9999999999999787</v>
      </c>
      <c r="V7" s="21">
        <f t="shared" si="7"/>
        <v>7.9999999999999716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-34.999999999993179</v>
      </c>
      <c r="AF7" s="20">
        <f t="shared" si="9"/>
        <v>0.98250000000000337</v>
      </c>
      <c r="AG7" s="170"/>
    </row>
    <row r="8" spans="1:33">
      <c r="A8" s="202" t="s">
        <v>1662</v>
      </c>
      <c r="B8" s="35" t="s">
        <v>78</v>
      </c>
      <c r="C8" s="197" t="s">
        <v>91</v>
      </c>
      <c r="D8" s="198"/>
      <c r="E8" s="35">
        <v>50.67</v>
      </c>
      <c r="F8" s="4">
        <v>1343</v>
      </c>
      <c r="G8" s="4">
        <f t="shared" si="0"/>
        <v>68049.81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1918.5714285714278</v>
      </c>
      <c r="N8" s="16">
        <f t="shared" si="3"/>
        <v>127.90476190476186</v>
      </c>
      <c r="O8" s="18">
        <f t="shared" si="4"/>
        <v>0</v>
      </c>
      <c r="P8" s="19">
        <f t="shared" si="5"/>
        <v>-5.4285714285714874</v>
      </c>
      <c r="Q8" s="20">
        <f t="shared" si="6"/>
        <v>0.95928571428571385</v>
      </c>
      <c r="R8" s="170"/>
      <c r="S8" s="27">
        <v>0.77222222222222225</v>
      </c>
      <c r="T8" s="27">
        <v>0.80138888888888893</v>
      </c>
      <c r="U8" s="4">
        <f t="shared" si="10"/>
        <v>7.9999999999999716</v>
      </c>
      <c r="V8" s="21">
        <f t="shared" si="7"/>
        <v>42.000000000000014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-81.428571428572241</v>
      </c>
      <c r="AF8" s="20">
        <f t="shared" si="9"/>
        <v>0.95928571428571385</v>
      </c>
      <c r="AG8" s="170"/>
    </row>
    <row r="9" spans="1:33">
      <c r="A9" s="202" t="s">
        <v>45</v>
      </c>
      <c r="B9" s="35" t="s">
        <v>48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1942.0652709359606</v>
      </c>
      <c r="N9" s="16">
        <f t="shared" si="3"/>
        <v>107.8925150519978</v>
      </c>
      <c r="O9" s="18">
        <f t="shared" si="4"/>
        <v>0</v>
      </c>
      <c r="P9" s="19">
        <f t="shared" si="5"/>
        <v>-3.2185960591133096</v>
      </c>
      <c r="Q9" s="20">
        <f t="shared" si="6"/>
        <v>0.97103263546798024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f>SUM(AC5:AC8)</f>
        <v>4</v>
      </c>
      <c r="AD9" s="30">
        <f>SUM(AD5:AD8)</f>
        <v>0</v>
      </c>
      <c r="AE9" s="18">
        <f t="shared" si="8"/>
        <v>-57.934729064039402</v>
      </c>
      <c r="AF9" s="20">
        <f t="shared" si="9"/>
        <v>0.97103263546798035</v>
      </c>
      <c r="AG9" s="170"/>
    </row>
    <row r="10" spans="1:33" ht="15.75" customHeight="1">
      <c r="A10" s="196" t="s">
        <v>1663</v>
      </c>
      <c r="B10" s="35" t="s">
        <v>84</v>
      </c>
      <c r="C10" s="197" t="s">
        <v>85</v>
      </c>
      <c r="D10" s="198"/>
      <c r="E10" s="35">
        <v>39.619999999999997</v>
      </c>
      <c r="F10" s="4">
        <v>4166</v>
      </c>
      <c r="G10" s="4">
        <f t="shared" ref="G10:G11" si="11">E10*F10</f>
        <v>165056.91999999998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1" si="12">F10/V10*60</f>
        <v>1436.5517241379312</v>
      </c>
      <c r="N10" s="16">
        <f t="shared" si="3"/>
        <v>75.607985480943739</v>
      </c>
      <c r="O10" s="18">
        <f t="shared" si="4"/>
        <v>0</v>
      </c>
      <c r="P10" s="19">
        <f t="shared" si="5"/>
        <v>-3.3393829401088908</v>
      </c>
      <c r="Q10" s="20">
        <f t="shared" si="6"/>
        <v>0.95770114942528739</v>
      </c>
      <c r="R10" s="170">
        <f>Q12</f>
        <v>0.95672603258810152</v>
      </c>
      <c r="S10" s="27">
        <v>0.20833333333333334</v>
      </c>
      <c r="T10" s="27">
        <v>0.32916666666666666</v>
      </c>
      <c r="U10" s="4"/>
      <c r="V10" s="21">
        <f t="shared" ref="V10:V11" si="13">(T10-S10)*24*60</f>
        <v>173.99999999999997</v>
      </c>
      <c r="W10" s="22"/>
      <c r="X10" s="22"/>
      <c r="Y10" s="22"/>
      <c r="Z10" s="22"/>
      <c r="AA10" s="162"/>
      <c r="AB10" s="162"/>
      <c r="AC10" s="24">
        <v>2</v>
      </c>
      <c r="AD10" s="24"/>
      <c r="AE10" s="18">
        <f t="shared" si="8"/>
        <v>-63.44827586206884</v>
      </c>
      <c r="AF10" s="20">
        <f t="shared" si="9"/>
        <v>0.95770114942528739</v>
      </c>
      <c r="AG10" s="170">
        <f>AF12</f>
        <v>0.9567260325881014</v>
      </c>
    </row>
    <row r="11" spans="1:33" ht="15.75" customHeight="1">
      <c r="A11" s="196" t="s">
        <v>283</v>
      </c>
      <c r="B11" s="35" t="s">
        <v>84</v>
      </c>
      <c r="C11" s="197" t="s">
        <v>86</v>
      </c>
      <c r="D11" s="198"/>
      <c r="E11" s="35">
        <v>39.799999999999997</v>
      </c>
      <c r="F11" s="4">
        <v>6523</v>
      </c>
      <c r="G11" s="4">
        <f t="shared" si="11"/>
        <v>259615.4</v>
      </c>
      <c r="H11" s="21" t="s">
        <v>133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1433.6263736263732</v>
      </c>
      <c r="N11" s="16">
        <f t="shared" si="3"/>
        <v>84.330963154492537</v>
      </c>
      <c r="O11" s="18">
        <f t="shared" si="4"/>
        <v>0</v>
      </c>
      <c r="P11" s="19">
        <f t="shared" si="5"/>
        <v>-3.9043309631545213</v>
      </c>
      <c r="Q11" s="20">
        <f t="shared" si="6"/>
        <v>0.95575091575091542</v>
      </c>
      <c r="R11" s="170"/>
      <c r="S11" s="27">
        <v>0.33333333333333331</v>
      </c>
      <c r="T11" s="27">
        <v>0.5229166666666667</v>
      </c>
      <c r="U11" s="4">
        <f t="shared" ref="U11" si="14">IF(S11=TIME(17,0,0),"",(S11-T10)*24*60)</f>
        <v>5.9999999999999787</v>
      </c>
      <c r="V11" s="21">
        <f t="shared" si="13"/>
        <v>273.00000000000006</v>
      </c>
      <c r="W11" s="22"/>
      <c r="X11" s="22"/>
      <c r="Y11" s="22"/>
      <c r="Z11" s="22"/>
      <c r="AA11" s="162"/>
      <c r="AB11" s="162"/>
      <c r="AC11" s="24"/>
      <c r="AD11" s="24"/>
      <c r="AE11" s="18">
        <f t="shared" si="8"/>
        <v>-66.373626373626848</v>
      </c>
      <c r="AF11" s="20">
        <f t="shared" si="9"/>
        <v>0.95575091575091542</v>
      </c>
      <c r="AG11" s="170"/>
    </row>
    <row r="12" spans="1:33" ht="16.5" customHeight="1">
      <c r="A12" s="196" t="s">
        <v>1663</v>
      </c>
      <c r="B12" s="35" t="s">
        <v>1664</v>
      </c>
      <c r="C12" s="171"/>
      <c r="D12" s="171"/>
      <c r="E12" s="36"/>
      <c r="F12" s="17"/>
      <c r="G12" s="17"/>
      <c r="H12" s="4"/>
      <c r="I12" s="29">
        <v>18</v>
      </c>
      <c r="J12" s="17">
        <v>1500</v>
      </c>
      <c r="K12" s="16">
        <f t="shared" si="1"/>
        <v>83.333333333333329</v>
      </c>
      <c r="L12" s="29">
        <v>18</v>
      </c>
      <c r="M12" s="17">
        <f>AVERAGE(M10:M11)</f>
        <v>1435.0890488821522</v>
      </c>
      <c r="N12" s="16">
        <f t="shared" si="3"/>
        <v>79.727169382341785</v>
      </c>
      <c r="O12" s="18">
        <f t="shared" si="4"/>
        <v>0</v>
      </c>
      <c r="P12" s="19">
        <f t="shared" si="5"/>
        <v>-3.6061639509915437</v>
      </c>
      <c r="Q12" s="20">
        <f t="shared" si="6"/>
        <v>0.95672603258810152</v>
      </c>
      <c r="R12" s="170"/>
      <c r="S12" s="27"/>
      <c r="T12" s="27"/>
      <c r="U12" s="16"/>
      <c r="V12" s="21"/>
      <c r="W12" s="16"/>
      <c r="X12" s="16"/>
      <c r="Y12" s="30">
        <f>SUM(Y10:Y11)</f>
        <v>0</v>
      </c>
      <c r="Z12" s="30">
        <f>SUM(Z10:Z11)</f>
        <v>0</v>
      </c>
      <c r="AA12" s="166"/>
      <c r="AB12" s="166"/>
      <c r="AC12" s="30">
        <f>SUM(AC10:AC11)</f>
        <v>2</v>
      </c>
      <c r="AD12" s="30">
        <f>SUM(AD10:AD11)</f>
        <v>0</v>
      </c>
      <c r="AE12" s="18">
        <f t="shared" si="8"/>
        <v>-64.910951117847844</v>
      </c>
      <c r="AF12" s="20">
        <f t="shared" si="9"/>
        <v>0.9567260325881014</v>
      </c>
      <c r="AG12" s="170"/>
    </row>
    <row r="13" spans="1:33" ht="16.5" customHeight="1">
      <c r="A13" s="194" t="s">
        <v>1665</v>
      </c>
      <c r="B13" s="4" t="s">
        <v>87</v>
      </c>
      <c r="C13" s="190" t="s">
        <v>88</v>
      </c>
      <c r="D13" s="190"/>
      <c r="E13" s="35">
        <v>41</v>
      </c>
      <c r="F13" s="4">
        <v>3089</v>
      </c>
      <c r="G13" s="4">
        <f t="shared" ref="G13:G16" si="15">E13*F13</f>
        <v>126649</v>
      </c>
      <c r="H13" s="21" t="s">
        <v>133</v>
      </c>
      <c r="I13" s="15">
        <v>26</v>
      </c>
      <c r="J13" s="17">
        <v>1500</v>
      </c>
      <c r="K13" s="16">
        <f t="shared" si="1"/>
        <v>57.692307692307693</v>
      </c>
      <c r="L13" s="15">
        <v>26</v>
      </c>
      <c r="M13" s="17">
        <f t="shared" ref="M13:M16" si="16">F13/V13*60</f>
        <v>1436.7441860465119</v>
      </c>
      <c r="N13" s="16">
        <f t="shared" si="3"/>
        <v>55.259391771019686</v>
      </c>
      <c r="O13" s="18">
        <f t="shared" si="4"/>
        <v>0</v>
      </c>
      <c r="P13" s="19">
        <f t="shared" si="5"/>
        <v>-2.4329159212880072</v>
      </c>
      <c r="Q13" s="20">
        <f t="shared" si="6"/>
        <v>0.95782945736434122</v>
      </c>
      <c r="R13" s="170">
        <f>Q17</f>
        <v>0.96109934169691014</v>
      </c>
      <c r="S13" s="27">
        <v>0.20833333333333334</v>
      </c>
      <c r="T13" s="27">
        <v>0.29791666666666666</v>
      </c>
      <c r="U13" s="4"/>
      <c r="V13" s="21">
        <f t="shared" ref="V13:V16" si="17">(T13-S13)*24*60</f>
        <v>128.99999999999997</v>
      </c>
      <c r="W13" s="27"/>
      <c r="X13" s="27"/>
      <c r="Y13" s="27"/>
      <c r="Z13" s="27"/>
      <c r="AA13" s="162"/>
      <c r="AB13" s="162"/>
      <c r="AC13" s="24">
        <v>4</v>
      </c>
      <c r="AD13" s="24"/>
      <c r="AE13" s="18">
        <f t="shared" si="8"/>
        <v>-63.255813953488087</v>
      </c>
      <c r="AF13" s="20">
        <f t="shared" si="9"/>
        <v>0.95782945736434133</v>
      </c>
      <c r="AG13" s="170">
        <f>AF17</f>
        <v>0.96109934169691014</v>
      </c>
    </row>
    <row r="14" spans="1:33" ht="16.5" customHeight="1">
      <c r="A14" s="195" t="s">
        <v>1665</v>
      </c>
      <c r="B14" s="4" t="s">
        <v>78</v>
      </c>
      <c r="C14" s="190" t="s">
        <v>89</v>
      </c>
      <c r="D14" s="190"/>
      <c r="E14" s="35">
        <v>50.98</v>
      </c>
      <c r="F14" s="4">
        <v>1885</v>
      </c>
      <c r="G14" s="4">
        <f t="shared" si="15"/>
        <v>96097.299999999988</v>
      </c>
      <c r="H14" s="21" t="s">
        <v>133</v>
      </c>
      <c r="I14" s="15">
        <v>16</v>
      </c>
      <c r="J14" s="17">
        <v>2000</v>
      </c>
      <c r="K14" s="16">
        <f t="shared" si="1"/>
        <v>125</v>
      </c>
      <c r="L14" s="15">
        <v>16</v>
      </c>
      <c r="M14" s="17">
        <f t="shared" si="16"/>
        <v>1916.9491525423743</v>
      </c>
      <c r="N14" s="16">
        <f t="shared" si="3"/>
        <v>119.8093220338984</v>
      </c>
      <c r="O14" s="18">
        <f t="shared" si="4"/>
        <v>0</v>
      </c>
      <c r="P14" s="19">
        <f t="shared" si="5"/>
        <v>-5.1906779661016031</v>
      </c>
      <c r="Q14" s="20">
        <f t="shared" si="6"/>
        <v>0.95847457627118715</v>
      </c>
      <c r="R14" s="170"/>
      <c r="S14" s="27">
        <v>0.70833333333333337</v>
      </c>
      <c r="T14" s="27">
        <v>0.74930555555555556</v>
      </c>
      <c r="U14" s="4" t="str">
        <f t="shared" ref="U14:U16" si="18">IF(S14=TIME(17,0,0),"",(S14-T13)*24*60)</f>
        <v/>
      </c>
      <c r="V14" s="21">
        <f t="shared" si="17"/>
        <v>58.99999999999995</v>
      </c>
      <c r="W14" s="22"/>
      <c r="X14" s="22"/>
      <c r="Y14" s="22"/>
      <c r="Z14" s="22"/>
      <c r="AA14" s="162"/>
      <c r="AB14" s="162"/>
      <c r="AC14" s="24"/>
      <c r="AD14" s="24"/>
      <c r="AE14" s="18">
        <f t="shared" si="8"/>
        <v>-83.05084745762565</v>
      </c>
      <c r="AF14" s="20">
        <f t="shared" si="9"/>
        <v>0.95847457627118715</v>
      </c>
      <c r="AG14" s="170"/>
    </row>
    <row r="15" spans="1:33" ht="16.5" customHeight="1">
      <c r="A15" s="195" t="s">
        <v>50</v>
      </c>
      <c r="B15" s="4" t="s">
        <v>78</v>
      </c>
      <c r="C15" s="190" t="s">
        <v>83</v>
      </c>
      <c r="D15" s="190"/>
      <c r="E15" s="35">
        <v>50.67</v>
      </c>
      <c r="F15" s="4">
        <v>487</v>
      </c>
      <c r="G15" s="4">
        <f t="shared" si="15"/>
        <v>24676.29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1948.0000000000068</v>
      </c>
      <c r="N15" s="16">
        <f t="shared" si="3"/>
        <v>121.75000000000043</v>
      </c>
      <c r="O15" s="18">
        <f t="shared" si="4"/>
        <v>0</v>
      </c>
      <c r="P15" s="19">
        <f t="shared" si="5"/>
        <v>-3.2499999999995737</v>
      </c>
      <c r="Q15" s="20">
        <f t="shared" si="6"/>
        <v>0.97400000000000342</v>
      </c>
      <c r="R15" s="170"/>
      <c r="S15" s="27">
        <v>0.75347222222222221</v>
      </c>
      <c r="T15" s="27">
        <v>0.76388888888888884</v>
      </c>
      <c r="U15" s="4">
        <f t="shared" si="18"/>
        <v>5.9999999999999787</v>
      </c>
      <c r="V15" s="21">
        <f t="shared" si="17"/>
        <v>14.999999999999947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-51.999999999993179</v>
      </c>
      <c r="AF15" s="20">
        <f t="shared" si="9"/>
        <v>0.97400000000000342</v>
      </c>
      <c r="AG15" s="170"/>
    </row>
    <row r="16" spans="1:33" ht="16.5" customHeight="1">
      <c r="A16" s="195" t="s">
        <v>50</v>
      </c>
      <c r="B16" s="4" t="s">
        <v>78</v>
      </c>
      <c r="C16" s="190" t="s">
        <v>90</v>
      </c>
      <c r="D16" s="190"/>
      <c r="E16" s="35">
        <v>50.92</v>
      </c>
      <c r="F16" s="4">
        <v>1843</v>
      </c>
      <c r="G16" s="4">
        <f t="shared" si="15"/>
        <v>93845.56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1906.5517241379325</v>
      </c>
      <c r="N16" s="16">
        <f t="shared" si="3"/>
        <v>127.10344827586216</v>
      </c>
      <c r="O16" s="18">
        <f t="shared" si="4"/>
        <v>0</v>
      </c>
      <c r="P16" s="19">
        <f t="shared" si="5"/>
        <v>-6.2298850574711793</v>
      </c>
      <c r="Q16" s="20">
        <f t="shared" si="6"/>
        <v>0.9532758620689662</v>
      </c>
      <c r="R16" s="170"/>
      <c r="S16" s="27">
        <v>0.76736111111111105</v>
      </c>
      <c r="T16" s="27">
        <v>0.8076388888888888</v>
      </c>
      <c r="U16" s="4">
        <f t="shared" si="18"/>
        <v>4.9999999999999822</v>
      </c>
      <c r="V16" s="21">
        <f t="shared" si="17"/>
        <v>57.999999999999957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-93.448275862067476</v>
      </c>
      <c r="AF16" s="20">
        <f t="shared" si="9"/>
        <v>0.95327586206896631</v>
      </c>
      <c r="AG16" s="170"/>
    </row>
    <row r="17" spans="1:33" ht="16.5" customHeight="1">
      <c r="A17" s="195" t="s">
        <v>50</v>
      </c>
      <c r="B17" s="35" t="s">
        <v>1664</v>
      </c>
      <c r="C17" s="171"/>
      <c r="D17" s="171"/>
      <c r="E17" s="36"/>
      <c r="F17" s="16"/>
      <c r="G17" s="16"/>
      <c r="H17" s="4"/>
      <c r="I17" s="29">
        <v>18.25</v>
      </c>
      <c r="J17" s="17">
        <v>1875</v>
      </c>
      <c r="K17" s="16">
        <f t="shared" si="1"/>
        <v>102.73972602739725</v>
      </c>
      <c r="L17" s="29">
        <v>18.25</v>
      </c>
      <c r="M17" s="17">
        <f>AVERAGE(M13:M16)</f>
        <v>1802.0612656817066</v>
      </c>
      <c r="N17" s="16">
        <f t="shared" si="3"/>
        <v>98.743083051052409</v>
      </c>
      <c r="O17" s="18">
        <f t="shared" si="4"/>
        <v>0</v>
      </c>
      <c r="P17" s="19">
        <f t="shared" si="5"/>
        <v>-3.9966429763448446</v>
      </c>
      <c r="Q17" s="20">
        <f t="shared" si="6"/>
        <v>0.96109934169691014</v>
      </c>
      <c r="R17" s="170"/>
      <c r="S17" s="27"/>
      <c r="T17" s="27"/>
      <c r="U17" s="4"/>
      <c r="V17" s="21"/>
      <c r="W17" s="16"/>
      <c r="X17" s="16"/>
      <c r="Y17" s="30">
        <f>SUM(Y13:Y16)</f>
        <v>0</v>
      </c>
      <c r="Z17" s="30">
        <f>SUM(Z13:Z16)</f>
        <v>0</v>
      </c>
      <c r="AA17" s="166"/>
      <c r="AB17" s="166"/>
      <c r="AC17" s="30">
        <f>SUM(AC13:AC16)</f>
        <v>4</v>
      </c>
      <c r="AD17" s="30">
        <f>SUM(AD13:AD16)</f>
        <v>0</v>
      </c>
      <c r="AE17" s="18">
        <f t="shared" si="8"/>
        <v>-72.938734318293427</v>
      </c>
      <c r="AF17" s="20">
        <f t="shared" si="9"/>
        <v>0.96109934169691014</v>
      </c>
      <c r="AG17" s="170"/>
    </row>
    <row r="18" spans="1:33" ht="15.75" customHeight="1">
      <c r="A18" s="192" t="s">
        <v>52</v>
      </c>
      <c r="B18" s="35" t="s">
        <v>78</v>
      </c>
      <c r="C18" s="190" t="s">
        <v>92</v>
      </c>
      <c r="D18" s="190"/>
      <c r="E18" s="35">
        <v>57.73</v>
      </c>
      <c r="F18" s="4">
        <v>2042</v>
      </c>
      <c r="G18" s="4">
        <f t="shared" ref="G18:G22" si="19">E18*F18</f>
        <v>117884.65999999999</v>
      </c>
      <c r="H18" s="21" t="s">
        <v>133</v>
      </c>
      <c r="I18" s="15">
        <v>14</v>
      </c>
      <c r="J18" s="17">
        <v>2000</v>
      </c>
      <c r="K18" s="16">
        <f t="shared" si="1"/>
        <v>142.85714285714286</v>
      </c>
      <c r="L18" s="15">
        <v>14</v>
      </c>
      <c r="M18" s="17">
        <f t="shared" ref="M18:M22" si="20">F18/V18*60</f>
        <v>1914.3750000000009</v>
      </c>
      <c r="N18" s="16">
        <f t="shared" si="3"/>
        <v>136.7410714285715</v>
      </c>
      <c r="O18" s="18">
        <f t="shared" si="4"/>
        <v>0</v>
      </c>
      <c r="P18" s="19">
        <f t="shared" si="5"/>
        <v>-6.1160714285713595</v>
      </c>
      <c r="Q18" s="20">
        <f t="shared" si="6"/>
        <v>0.95718750000000052</v>
      </c>
      <c r="R18" s="170">
        <f>Q23</f>
        <v>0.96435248398218321</v>
      </c>
      <c r="S18" s="27">
        <v>0.20833333333333334</v>
      </c>
      <c r="T18" s="27">
        <v>0.25277777777777777</v>
      </c>
      <c r="U18" s="4"/>
      <c r="V18" s="21">
        <f t="shared" ref="V18:V22" si="21">(T18-S18)*24*60</f>
        <v>63.999999999999972</v>
      </c>
      <c r="W18" s="27"/>
      <c r="X18" s="27"/>
      <c r="Y18" s="27"/>
      <c r="Z18" s="27"/>
      <c r="AA18" s="162"/>
      <c r="AB18" s="162"/>
      <c r="AC18" s="24">
        <v>5</v>
      </c>
      <c r="AD18" s="24"/>
      <c r="AE18" s="18">
        <f t="shared" si="8"/>
        <v>-85.624999999999091</v>
      </c>
      <c r="AF18" s="20">
        <f t="shared" si="9"/>
        <v>0.95718750000000041</v>
      </c>
      <c r="AG18" s="170">
        <f>AF23</f>
        <v>0.96435248398218332</v>
      </c>
    </row>
    <row r="19" spans="1:33" ht="15.75" customHeight="1">
      <c r="A19" s="193" t="s">
        <v>1666</v>
      </c>
      <c r="B19" s="35" t="s">
        <v>78</v>
      </c>
      <c r="C19" s="190" t="s">
        <v>93</v>
      </c>
      <c r="D19" s="190"/>
      <c r="E19" s="35">
        <v>53.68</v>
      </c>
      <c r="F19" s="4">
        <v>1260</v>
      </c>
      <c r="G19" s="4">
        <f t="shared" si="19"/>
        <v>67636.800000000003</v>
      </c>
      <c r="H19" s="21" t="s">
        <v>133</v>
      </c>
      <c r="I19" s="15">
        <v>16</v>
      </c>
      <c r="J19" s="17">
        <v>2000</v>
      </c>
      <c r="K19" s="16">
        <f t="shared" si="1"/>
        <v>125</v>
      </c>
      <c r="L19" s="15">
        <v>16</v>
      </c>
      <c r="M19" s="17">
        <f t="shared" si="20"/>
        <v>1938.4615384615377</v>
      </c>
      <c r="N19" s="16">
        <f t="shared" si="3"/>
        <v>121.1538461538461</v>
      </c>
      <c r="O19" s="18">
        <f t="shared" si="4"/>
        <v>0</v>
      </c>
      <c r="P19" s="19">
        <f t="shared" si="5"/>
        <v>-3.8461538461538964</v>
      </c>
      <c r="Q19" s="20">
        <f t="shared" si="6"/>
        <v>0.96923076923076878</v>
      </c>
      <c r="R19" s="170"/>
      <c r="S19" s="27">
        <v>0.2583333333333333</v>
      </c>
      <c r="T19" s="27">
        <v>0.28541666666666665</v>
      </c>
      <c r="U19" s="4">
        <f t="shared" ref="U19:U22" si="22">IF(S19=TIME(17,0,0),"",(S19-T18)*24*60)</f>
        <v>7.9999999999999716</v>
      </c>
      <c r="V19" s="21">
        <f t="shared" si="21"/>
        <v>39.000000000000021</v>
      </c>
      <c r="W19" s="22"/>
      <c r="X19" s="4"/>
      <c r="Y19" s="4"/>
      <c r="Z19" s="4"/>
      <c r="AA19" s="162"/>
      <c r="AB19" s="162"/>
      <c r="AC19" s="24"/>
      <c r="AD19" s="24"/>
      <c r="AE19" s="18">
        <f t="shared" si="8"/>
        <v>-61.538461538462343</v>
      </c>
      <c r="AF19" s="20">
        <f t="shared" si="9"/>
        <v>0.96923076923076878</v>
      </c>
      <c r="AG19" s="170"/>
    </row>
    <row r="20" spans="1:33" ht="15.75" customHeight="1">
      <c r="A20" s="193" t="s">
        <v>52</v>
      </c>
      <c r="B20" s="35" t="s">
        <v>78</v>
      </c>
      <c r="C20" s="190" t="s">
        <v>94</v>
      </c>
      <c r="D20" s="190"/>
      <c r="E20" s="35">
        <v>50.49</v>
      </c>
      <c r="F20" s="4">
        <v>1580</v>
      </c>
      <c r="G20" s="4">
        <f t="shared" si="19"/>
        <v>79774.2</v>
      </c>
      <c r="H20" s="21" t="s">
        <v>133</v>
      </c>
      <c r="I20" s="15">
        <v>15</v>
      </c>
      <c r="J20" s="17">
        <v>2000</v>
      </c>
      <c r="K20" s="16">
        <f t="shared" si="1"/>
        <v>133.33333333333334</v>
      </c>
      <c r="L20" s="15">
        <v>15</v>
      </c>
      <c r="M20" s="17">
        <f t="shared" si="20"/>
        <v>1934.6938775510209</v>
      </c>
      <c r="N20" s="16">
        <f t="shared" si="3"/>
        <v>128.97959183673473</v>
      </c>
      <c r="O20" s="18">
        <f t="shared" si="4"/>
        <v>0</v>
      </c>
      <c r="P20" s="19">
        <f t="shared" si="5"/>
        <v>-4.3537414965986159</v>
      </c>
      <c r="Q20" s="20">
        <f t="shared" si="6"/>
        <v>0.96734693877551037</v>
      </c>
      <c r="R20" s="170"/>
      <c r="S20" s="27">
        <v>0.70833333333333337</v>
      </c>
      <c r="T20" s="27">
        <v>0.74236111111111114</v>
      </c>
      <c r="U20" s="4" t="str">
        <f t="shared" si="22"/>
        <v/>
      </c>
      <c r="V20" s="21">
        <f t="shared" si="21"/>
        <v>48.999999999999986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-65.306122448979067</v>
      </c>
      <c r="AF20" s="20">
        <f t="shared" si="9"/>
        <v>0.96734693877551048</v>
      </c>
      <c r="AG20" s="170"/>
    </row>
    <row r="21" spans="1:33" ht="15.75" customHeight="1">
      <c r="A21" s="193" t="s">
        <v>1666</v>
      </c>
      <c r="B21" s="35" t="s">
        <v>78</v>
      </c>
      <c r="C21" s="190" t="s">
        <v>96</v>
      </c>
      <c r="D21" s="190"/>
      <c r="E21" s="35">
        <v>57.3</v>
      </c>
      <c r="F21" s="4">
        <v>1452</v>
      </c>
      <c r="G21" s="4">
        <f t="shared" si="19"/>
        <v>83199.599999999991</v>
      </c>
      <c r="H21" s="21" t="s">
        <v>133</v>
      </c>
      <c r="I21" s="15">
        <v>13</v>
      </c>
      <c r="J21" s="17">
        <v>2000</v>
      </c>
      <c r="K21" s="16">
        <f t="shared" si="1"/>
        <v>153.84615384615384</v>
      </c>
      <c r="L21" s="15">
        <v>13</v>
      </c>
      <c r="M21" s="17">
        <f t="shared" si="20"/>
        <v>1936</v>
      </c>
      <c r="N21" s="16">
        <f t="shared" si="3"/>
        <v>148.92307692307693</v>
      </c>
      <c r="O21" s="18">
        <f t="shared" si="4"/>
        <v>0</v>
      </c>
      <c r="P21" s="19">
        <f t="shared" si="5"/>
        <v>-4.9230769230769056</v>
      </c>
      <c r="Q21" s="20">
        <f t="shared" si="6"/>
        <v>0.96800000000000008</v>
      </c>
      <c r="R21" s="170"/>
      <c r="S21" s="27">
        <v>0.74652777777777779</v>
      </c>
      <c r="T21" s="27">
        <v>0.77777777777777779</v>
      </c>
      <c r="U21" s="4">
        <f t="shared" si="22"/>
        <v>5.9999999999999787</v>
      </c>
      <c r="V21" s="21">
        <f t="shared" si="21"/>
        <v>45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-64</v>
      </c>
      <c r="AF21" s="20">
        <f t="shared" si="9"/>
        <v>0.96799999999999997</v>
      </c>
      <c r="AG21" s="170"/>
    </row>
    <row r="22" spans="1:33" ht="15.75" customHeight="1">
      <c r="A22" s="193" t="s">
        <v>52</v>
      </c>
      <c r="B22" s="35" t="s">
        <v>78</v>
      </c>
      <c r="C22" s="190" t="s">
        <v>95</v>
      </c>
      <c r="D22" s="190"/>
      <c r="E22" s="35">
        <v>53.68</v>
      </c>
      <c r="F22" s="4">
        <v>1318</v>
      </c>
      <c r="G22" s="4">
        <f t="shared" si="19"/>
        <v>70750.240000000005</v>
      </c>
      <c r="H22" s="21" t="s">
        <v>133</v>
      </c>
      <c r="I22" s="15">
        <v>16</v>
      </c>
      <c r="J22" s="17">
        <v>1500</v>
      </c>
      <c r="K22" s="16">
        <f t="shared" si="1"/>
        <v>93.75</v>
      </c>
      <c r="L22" s="15">
        <v>16</v>
      </c>
      <c r="M22" s="17">
        <f t="shared" si="20"/>
        <v>1437.8181818181827</v>
      </c>
      <c r="N22" s="16">
        <f t="shared" si="3"/>
        <v>89.863636363636417</v>
      </c>
      <c r="O22" s="18">
        <f t="shared" si="4"/>
        <v>0</v>
      </c>
      <c r="P22" s="19">
        <f t="shared" si="5"/>
        <v>-3.8863636363635834</v>
      </c>
      <c r="Q22" s="20">
        <f t="shared" si="6"/>
        <v>0.95854545454545514</v>
      </c>
      <c r="R22" s="170"/>
      <c r="S22" s="27">
        <v>0.78333333333333333</v>
      </c>
      <c r="T22" s="27">
        <v>0.82152777777777775</v>
      </c>
      <c r="U22" s="4">
        <f t="shared" si="22"/>
        <v>7.9999999999999716</v>
      </c>
      <c r="V22" s="21">
        <f t="shared" si="21"/>
        <v>54.999999999999964</v>
      </c>
      <c r="W22" s="22"/>
      <c r="X22" s="22"/>
      <c r="Y22" s="4"/>
      <c r="Z22" s="4"/>
      <c r="AA22" s="162"/>
      <c r="AB22" s="162"/>
      <c r="AC22" s="24"/>
      <c r="AD22" s="24"/>
      <c r="AE22" s="18">
        <f t="shared" si="8"/>
        <v>-62.181818181817334</v>
      </c>
      <c r="AF22" s="20">
        <f t="shared" si="9"/>
        <v>0.95854545454545514</v>
      </c>
      <c r="AG22" s="170"/>
    </row>
    <row r="23" spans="1:33" ht="15.75" customHeight="1">
      <c r="A23" s="193" t="s">
        <v>52</v>
      </c>
      <c r="B23" s="35" t="s">
        <v>1664</v>
      </c>
      <c r="C23" s="171"/>
      <c r="D23" s="171"/>
      <c r="E23" s="36"/>
      <c r="F23" s="4"/>
      <c r="G23" s="4"/>
      <c r="H23" s="4"/>
      <c r="I23" s="29">
        <v>14.8</v>
      </c>
      <c r="J23" s="17">
        <v>1900</v>
      </c>
      <c r="K23" s="16">
        <f t="shared" si="1"/>
        <v>128.37837837837839</v>
      </c>
      <c r="L23" s="29">
        <v>14.8</v>
      </c>
      <c r="M23" s="17">
        <f>AVERAGE(M18:M22)</f>
        <v>1832.2697195661483</v>
      </c>
      <c r="N23" s="16">
        <f t="shared" si="3"/>
        <v>123.8020080787938</v>
      </c>
      <c r="O23" s="18">
        <f t="shared" si="4"/>
        <v>0</v>
      </c>
      <c r="P23" s="19">
        <f t="shared" si="5"/>
        <v>-4.5763702995845819</v>
      </c>
      <c r="Q23" s="20">
        <f t="shared" si="6"/>
        <v>0.96435248398218321</v>
      </c>
      <c r="R23" s="170"/>
      <c r="S23" s="27"/>
      <c r="T23" s="27"/>
      <c r="U23" s="16"/>
      <c r="V23" s="21"/>
      <c r="W23" s="16"/>
      <c r="X23" s="16"/>
      <c r="Y23" s="30">
        <f>SUM(Y18:Y22)</f>
        <v>0</v>
      </c>
      <c r="Z23" s="30">
        <f>SUM(Z18:Z22)</f>
        <v>0</v>
      </c>
      <c r="AA23" s="166"/>
      <c r="AB23" s="166"/>
      <c r="AC23" s="30">
        <f>SUM(AC18:AC22)</f>
        <v>5</v>
      </c>
      <c r="AD23" s="30">
        <f>SUM(AD18:AD22)</f>
        <v>0</v>
      </c>
      <c r="AE23" s="18">
        <f t="shared" si="8"/>
        <v>-67.730280433851703</v>
      </c>
      <c r="AF23" s="20">
        <f t="shared" si="9"/>
        <v>0.96435248398218332</v>
      </c>
      <c r="AG23" s="170"/>
    </row>
    <row r="24" spans="1:33" ht="15.75" customHeight="1">
      <c r="A24" s="191" t="s">
        <v>54</v>
      </c>
      <c r="B24" s="35" t="s">
        <v>97</v>
      </c>
      <c r="C24" s="190" t="s">
        <v>98</v>
      </c>
      <c r="D24" s="190"/>
      <c r="E24" s="35">
        <v>31.29</v>
      </c>
      <c r="F24" s="4">
        <v>8301</v>
      </c>
      <c r="G24" s="4">
        <f t="shared" ref="G24:G28" si="23">E24*F24</f>
        <v>259738.28999999998</v>
      </c>
      <c r="H24" s="21" t="s">
        <v>133</v>
      </c>
      <c r="I24" s="15">
        <v>18</v>
      </c>
      <c r="J24" s="17">
        <v>2400</v>
      </c>
      <c r="K24" s="16">
        <f t="shared" si="1"/>
        <v>133.33333333333334</v>
      </c>
      <c r="L24" s="15">
        <v>18</v>
      </c>
      <c r="M24" s="17">
        <f t="shared" ref="M24:M28" si="24">F24/V24*60</f>
        <v>2284.6788990825685</v>
      </c>
      <c r="N24" s="16">
        <f t="shared" si="3"/>
        <v>126.92660550458714</v>
      </c>
      <c r="O24" s="18">
        <f t="shared" si="4"/>
        <v>0</v>
      </c>
      <c r="P24" s="19">
        <f t="shared" si="5"/>
        <v>-6.4067278287461988</v>
      </c>
      <c r="Q24" s="20">
        <f t="shared" si="6"/>
        <v>0.95194954128440357</v>
      </c>
      <c r="R24" s="170">
        <f>Q29</f>
        <v>0.95682350696462237</v>
      </c>
      <c r="S24" s="27">
        <v>8.3333333333333329E-2</v>
      </c>
      <c r="T24" s="27">
        <v>0.23472222222222222</v>
      </c>
      <c r="U24" s="4"/>
      <c r="V24" s="21">
        <f t="shared" ref="V24:V28" si="25">(T24-S24)*24*60</f>
        <v>218.00000000000003</v>
      </c>
      <c r="W24" s="22">
        <f>T24</f>
        <v>0.23472222222222222</v>
      </c>
      <c r="X24" s="22">
        <f>S25</f>
        <v>0.25486111111111109</v>
      </c>
      <c r="Y24" s="22"/>
      <c r="Z24" s="22"/>
      <c r="AA24" s="162"/>
      <c r="AB24" s="162"/>
      <c r="AC24" s="24">
        <v>5</v>
      </c>
      <c r="AD24" s="24"/>
      <c r="AE24" s="18">
        <f t="shared" si="8"/>
        <v>-115.32110091743152</v>
      </c>
      <c r="AF24" s="20">
        <f t="shared" si="9"/>
        <v>0.95194954128440357</v>
      </c>
      <c r="AG24" s="170">
        <f>AF29</f>
        <v>0.95682350696462226</v>
      </c>
    </row>
    <row r="25" spans="1:33" ht="15.75" customHeight="1">
      <c r="A25" s="191" t="s">
        <v>54</v>
      </c>
      <c r="B25" s="35" t="s">
        <v>97</v>
      </c>
      <c r="C25" s="190" t="s">
        <v>99</v>
      </c>
      <c r="D25" s="190"/>
      <c r="E25" s="35">
        <v>25.98</v>
      </c>
      <c r="F25" s="4">
        <v>3101</v>
      </c>
      <c r="G25" s="4">
        <f t="shared" si="23"/>
        <v>80563.98</v>
      </c>
      <c r="H25" s="21" t="s">
        <v>133</v>
      </c>
      <c r="I25" s="15">
        <v>21</v>
      </c>
      <c r="J25" s="17">
        <v>2400</v>
      </c>
      <c r="K25" s="16">
        <f t="shared" si="1"/>
        <v>114.28571428571429</v>
      </c>
      <c r="L25" s="15">
        <v>21</v>
      </c>
      <c r="M25" s="17">
        <f t="shared" si="24"/>
        <v>2297.037037037036</v>
      </c>
      <c r="N25" s="16">
        <f t="shared" si="3"/>
        <v>109.38271604938267</v>
      </c>
      <c r="O25" s="18">
        <f t="shared" si="4"/>
        <v>0</v>
      </c>
      <c r="P25" s="19">
        <f t="shared" si="5"/>
        <v>-4.9029982363316265</v>
      </c>
      <c r="Q25" s="20">
        <f t="shared" si="6"/>
        <v>0.95709876543209826</v>
      </c>
      <c r="R25" s="170"/>
      <c r="S25" s="27">
        <v>0.25486111111111109</v>
      </c>
      <c r="T25" s="27">
        <v>0.31111111111111112</v>
      </c>
      <c r="U25" s="4">
        <f t="shared" ref="U25:U28" si="26">(S25-T24)*24*60</f>
        <v>28.999999999999979</v>
      </c>
      <c r="V25" s="21">
        <f t="shared" si="25"/>
        <v>81.000000000000028</v>
      </c>
      <c r="W25" s="22"/>
      <c r="X25" s="22"/>
      <c r="Y25" s="22"/>
      <c r="Z25" s="22"/>
      <c r="AA25" s="162"/>
      <c r="AB25" s="162"/>
      <c r="AC25" s="24"/>
      <c r="AD25" s="24"/>
      <c r="AE25" s="18">
        <f t="shared" si="8"/>
        <v>-102.96296296296396</v>
      </c>
      <c r="AF25" s="20">
        <f t="shared" si="9"/>
        <v>0.95709876543209838</v>
      </c>
      <c r="AG25" s="170"/>
    </row>
    <row r="26" spans="1:33" ht="15.75" customHeight="1">
      <c r="A26" s="191" t="s">
        <v>1667</v>
      </c>
      <c r="B26" s="35" t="s">
        <v>97</v>
      </c>
      <c r="C26" s="190" t="s">
        <v>100</v>
      </c>
      <c r="D26" s="190"/>
      <c r="E26" s="35">
        <v>26.2</v>
      </c>
      <c r="F26" s="4">
        <v>5147</v>
      </c>
      <c r="G26" s="4">
        <f t="shared" si="23"/>
        <v>134851.4</v>
      </c>
      <c r="H26" s="21" t="s">
        <v>133</v>
      </c>
      <c r="I26" s="15">
        <v>20</v>
      </c>
      <c r="J26" s="17">
        <v>2400</v>
      </c>
      <c r="K26" s="16">
        <f t="shared" si="1"/>
        <v>120</v>
      </c>
      <c r="L26" s="15">
        <v>20</v>
      </c>
      <c r="M26" s="17">
        <f t="shared" si="24"/>
        <v>2287.5555555555557</v>
      </c>
      <c r="N26" s="16">
        <f t="shared" si="3"/>
        <v>114.37777777777778</v>
      </c>
      <c r="O26" s="18">
        <f t="shared" si="4"/>
        <v>0</v>
      </c>
      <c r="P26" s="19">
        <f t="shared" si="5"/>
        <v>-5.62222222222222</v>
      </c>
      <c r="Q26" s="20">
        <f t="shared" si="6"/>
        <v>0.95314814814814819</v>
      </c>
      <c r="R26" s="170"/>
      <c r="S26" s="27">
        <v>0.31458333333333333</v>
      </c>
      <c r="T26" s="27">
        <v>0.40833333333333333</v>
      </c>
      <c r="U26" s="4">
        <f t="shared" si="26"/>
        <v>4.9999999999999822</v>
      </c>
      <c r="V26" s="21">
        <f t="shared" si="25"/>
        <v>135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-112.44444444444434</v>
      </c>
      <c r="AF26" s="20">
        <f t="shared" si="9"/>
        <v>0.95314814814814819</v>
      </c>
      <c r="AG26" s="170"/>
    </row>
    <row r="27" spans="1:33" ht="15.75" customHeight="1">
      <c r="A27" s="191" t="s">
        <v>54</v>
      </c>
      <c r="B27" s="35" t="s">
        <v>97</v>
      </c>
      <c r="C27" s="190" t="s">
        <v>101</v>
      </c>
      <c r="D27" s="190"/>
      <c r="E27" s="35">
        <v>25.99</v>
      </c>
      <c r="F27" s="4">
        <v>4098</v>
      </c>
      <c r="G27" s="4">
        <f t="shared" si="23"/>
        <v>106507.01999999999</v>
      </c>
      <c r="H27" s="21" t="s">
        <v>133</v>
      </c>
      <c r="I27" s="15">
        <v>14</v>
      </c>
      <c r="J27" s="17">
        <v>2400</v>
      </c>
      <c r="K27" s="16">
        <f t="shared" si="1"/>
        <v>171.42857142857142</v>
      </c>
      <c r="L27" s="15">
        <v>14</v>
      </c>
      <c r="M27" s="17">
        <f t="shared" si="24"/>
        <v>2297.9439252336447</v>
      </c>
      <c r="N27" s="16">
        <f t="shared" si="3"/>
        <v>164.1388518024032</v>
      </c>
      <c r="O27" s="18">
        <f t="shared" si="4"/>
        <v>0</v>
      </c>
      <c r="P27" s="19">
        <f t="shared" si="5"/>
        <v>-7.2897196261682211</v>
      </c>
      <c r="Q27" s="20">
        <f t="shared" si="6"/>
        <v>0.95747663551401874</v>
      </c>
      <c r="R27" s="170"/>
      <c r="S27" s="27">
        <v>0.41249999999999998</v>
      </c>
      <c r="T27" s="27">
        <v>0.48680555555555555</v>
      </c>
      <c r="U27" s="4">
        <f t="shared" si="26"/>
        <v>5.9999999999999787</v>
      </c>
      <c r="V27" s="21">
        <f t="shared" si="25"/>
        <v>107.00000000000001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-102.05607476635532</v>
      </c>
      <c r="AF27" s="20">
        <f t="shared" si="9"/>
        <v>0.95747663551401863</v>
      </c>
      <c r="AG27" s="170"/>
    </row>
    <row r="28" spans="1:33" ht="15.75" customHeight="1">
      <c r="A28" s="191" t="s">
        <v>54</v>
      </c>
      <c r="B28" s="35" t="s">
        <v>97</v>
      </c>
      <c r="C28" s="190" t="s">
        <v>102</v>
      </c>
      <c r="D28" s="190"/>
      <c r="E28" s="35">
        <v>26.18</v>
      </c>
      <c r="F28" s="4">
        <v>1736</v>
      </c>
      <c r="G28" s="4">
        <f t="shared" si="23"/>
        <v>45448.479999999996</v>
      </c>
      <c r="H28" s="21" t="s">
        <v>133</v>
      </c>
      <c r="I28" s="15">
        <v>19</v>
      </c>
      <c r="J28" s="17">
        <v>2400</v>
      </c>
      <c r="K28" s="16">
        <f t="shared" si="1"/>
        <v>126.31578947368421</v>
      </c>
      <c r="L28" s="15">
        <v>19</v>
      </c>
      <c r="M28" s="17">
        <f t="shared" si="24"/>
        <v>2314.6666666666629</v>
      </c>
      <c r="N28" s="16">
        <f t="shared" si="3"/>
        <v>121.82456140350857</v>
      </c>
      <c r="O28" s="18">
        <f t="shared" si="4"/>
        <v>0</v>
      </c>
      <c r="P28" s="19">
        <f t="shared" si="5"/>
        <v>-4.4912280701756373</v>
      </c>
      <c r="Q28" s="20">
        <f t="shared" si="6"/>
        <v>0.96444444444444288</v>
      </c>
      <c r="R28" s="170"/>
      <c r="S28" s="27">
        <v>0.49027777777777776</v>
      </c>
      <c r="T28" s="27">
        <v>0.52152777777777781</v>
      </c>
      <c r="U28" s="4">
        <f t="shared" si="26"/>
        <v>4.9999999999999822</v>
      </c>
      <c r="V28" s="21">
        <f t="shared" si="25"/>
        <v>45.000000000000078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-85.333333333337123</v>
      </c>
      <c r="AF28" s="20">
        <f t="shared" si="9"/>
        <v>0.96444444444444288</v>
      </c>
      <c r="AG28" s="170"/>
    </row>
    <row r="29" spans="1:33" ht="15.75" customHeight="1">
      <c r="A29" s="191" t="s">
        <v>54</v>
      </c>
      <c r="B29" s="35" t="s">
        <v>48</v>
      </c>
      <c r="C29" s="171"/>
      <c r="D29" s="171"/>
      <c r="E29" s="36"/>
      <c r="F29" s="4"/>
      <c r="G29" s="4"/>
      <c r="H29" s="4"/>
      <c r="I29" s="29">
        <v>18.399999999999999</v>
      </c>
      <c r="J29" s="17">
        <v>2400</v>
      </c>
      <c r="K29" s="16">
        <f t="shared" si="1"/>
        <v>130.43478260869566</v>
      </c>
      <c r="L29" s="29">
        <v>18.399999999999999</v>
      </c>
      <c r="M29" s="17">
        <f>AVERAGE(M24:M28)</f>
        <v>2296.3764167150935</v>
      </c>
      <c r="N29" s="16">
        <f t="shared" si="3"/>
        <v>124.80306612582031</v>
      </c>
      <c r="O29" s="18">
        <f t="shared" si="4"/>
        <v>0</v>
      </c>
      <c r="P29" s="19">
        <f t="shared" si="5"/>
        <v>-5.6317164828753477</v>
      </c>
      <c r="Q29" s="20">
        <f t="shared" si="6"/>
        <v>0.95682350696462237</v>
      </c>
      <c r="R29" s="170"/>
      <c r="S29" s="27"/>
      <c r="T29" s="27"/>
      <c r="U29" s="4"/>
      <c r="V29" s="21"/>
      <c r="W29" s="4"/>
      <c r="X29" s="4"/>
      <c r="Y29" s="30">
        <f>SUM(Y24:Y28)</f>
        <v>0</v>
      </c>
      <c r="Z29" s="30">
        <f>SUM(Z24:Z28)</f>
        <v>0</v>
      </c>
      <c r="AA29" s="166"/>
      <c r="AB29" s="166"/>
      <c r="AC29" s="30">
        <f>SUM(AC24:AC28)</f>
        <v>5</v>
      </c>
      <c r="AD29" s="30">
        <f>SUM(AD24:AD28)</f>
        <v>0</v>
      </c>
      <c r="AE29" s="18">
        <f t="shared" si="8"/>
        <v>-103.62358328490654</v>
      </c>
      <c r="AF29" s="20">
        <f t="shared" si="9"/>
        <v>0.95682350696462226</v>
      </c>
      <c r="AG29" s="170"/>
    </row>
    <row r="30" spans="1:33" ht="15.75" customHeight="1">
      <c r="A30" s="188" t="s">
        <v>1668</v>
      </c>
      <c r="B30" s="35" t="s">
        <v>97</v>
      </c>
      <c r="C30" s="163" t="s">
        <v>103</v>
      </c>
      <c r="D30" s="163"/>
      <c r="E30" s="35">
        <v>26.2</v>
      </c>
      <c r="F30" s="4">
        <v>3600</v>
      </c>
      <c r="G30" s="4">
        <f t="shared" ref="G30:G35" si="27">E30*F30</f>
        <v>94320</v>
      </c>
      <c r="H30" s="21">
        <v>2</v>
      </c>
      <c r="I30" s="15">
        <v>18</v>
      </c>
      <c r="J30" s="17">
        <v>2400</v>
      </c>
      <c r="K30" s="16">
        <f t="shared" si="1"/>
        <v>133.33333333333334</v>
      </c>
      <c r="L30" s="15">
        <v>18</v>
      </c>
      <c r="M30" s="17">
        <f t="shared" ref="M30:M35" si="28">F30/V30*60</f>
        <v>2297.8723404255315</v>
      </c>
      <c r="N30" s="16">
        <f t="shared" si="3"/>
        <v>127.65957446808508</v>
      </c>
      <c r="O30" s="18">
        <f t="shared" si="4"/>
        <v>0</v>
      </c>
      <c r="P30" s="19">
        <f t="shared" si="5"/>
        <v>-5.67375886524826</v>
      </c>
      <c r="Q30" s="20">
        <f t="shared" si="6"/>
        <v>0.95744680851063801</v>
      </c>
      <c r="R30" s="170">
        <f>Q36</f>
        <v>0.95717318696819675</v>
      </c>
      <c r="S30" s="27">
        <v>8.3333333333333329E-2</v>
      </c>
      <c r="T30" s="27">
        <v>0.14861111111111111</v>
      </c>
      <c r="U30" s="4"/>
      <c r="V30" s="21">
        <f t="shared" ref="V30:V35" si="29">(T30-S30)*24*60</f>
        <v>94.000000000000014</v>
      </c>
      <c r="W30" s="27">
        <f>T30</f>
        <v>0.14861111111111111</v>
      </c>
      <c r="X30" s="27">
        <f>S31</f>
        <v>0.16944444444444445</v>
      </c>
      <c r="Y30" s="27"/>
      <c r="Z30" s="27"/>
      <c r="AA30" s="162"/>
      <c r="AB30" s="162"/>
      <c r="AC30" s="24">
        <v>6</v>
      </c>
      <c r="AD30" s="24"/>
      <c r="AE30" s="18">
        <f t="shared" si="8"/>
        <v>-102.12765957446845</v>
      </c>
      <c r="AF30" s="20">
        <f t="shared" si="9"/>
        <v>0.95744680851063813</v>
      </c>
      <c r="AG30" s="170">
        <f>AF36</f>
        <v>0.95717318696819664</v>
      </c>
    </row>
    <row r="31" spans="1:33" ht="15.75" customHeight="1">
      <c r="A31" s="188" t="s">
        <v>59</v>
      </c>
      <c r="B31" s="35" t="s">
        <v>97</v>
      </c>
      <c r="C31" s="163" t="s">
        <v>104</v>
      </c>
      <c r="D31" s="163"/>
      <c r="E31" s="35">
        <v>20.52</v>
      </c>
      <c r="F31" s="4">
        <v>3728</v>
      </c>
      <c r="G31" s="4">
        <f t="shared" si="27"/>
        <v>76498.559999999998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8"/>
        <v>2305.9793814432996</v>
      </c>
      <c r="N31" s="16">
        <f t="shared" si="3"/>
        <v>128.10996563573886</v>
      </c>
      <c r="O31" s="18">
        <f t="shared" si="4"/>
        <v>0</v>
      </c>
      <c r="P31" s="19">
        <f t="shared" si="5"/>
        <v>-5.2233676975944832</v>
      </c>
      <c r="Q31" s="20">
        <f t="shared" si="6"/>
        <v>0.96082474226804138</v>
      </c>
      <c r="R31" s="170"/>
      <c r="S31" s="27">
        <v>0.16944444444444445</v>
      </c>
      <c r="T31" s="27">
        <v>0.23680555555555555</v>
      </c>
      <c r="U31" s="4">
        <f t="shared" ref="U31:U35" si="30">(S31-T30)*24*60</f>
        <v>30.000000000000014</v>
      </c>
      <c r="V31" s="21">
        <f t="shared" si="29"/>
        <v>96.999999999999972</v>
      </c>
      <c r="W31" s="4"/>
      <c r="X31" s="4"/>
      <c r="Y31" s="4"/>
      <c r="Z31" s="4"/>
      <c r="AA31" s="162"/>
      <c r="AB31" s="162"/>
      <c r="AC31" s="24"/>
      <c r="AD31" s="24"/>
      <c r="AE31" s="18">
        <f t="shared" si="8"/>
        <v>-94.020618556700356</v>
      </c>
      <c r="AF31" s="20">
        <f t="shared" si="9"/>
        <v>0.96082474226804149</v>
      </c>
      <c r="AG31" s="170"/>
    </row>
    <row r="32" spans="1:33">
      <c r="A32" s="189" t="s">
        <v>59</v>
      </c>
      <c r="B32" s="35" t="s">
        <v>97</v>
      </c>
      <c r="C32" s="163" t="s">
        <v>105</v>
      </c>
      <c r="D32" s="163"/>
      <c r="E32" s="35">
        <v>26.39</v>
      </c>
      <c r="F32" s="4">
        <v>5536</v>
      </c>
      <c r="G32" s="4">
        <f t="shared" si="27"/>
        <v>146095.04000000001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8"/>
        <v>2290.7586206896553</v>
      </c>
      <c r="N32" s="16">
        <f t="shared" si="3"/>
        <v>120.56624319419238</v>
      </c>
      <c r="O32" s="18">
        <f t="shared" si="4"/>
        <v>0</v>
      </c>
      <c r="P32" s="19">
        <f t="shared" si="5"/>
        <v>-5.749546279491824</v>
      </c>
      <c r="Q32" s="20">
        <f t="shared" si="6"/>
        <v>0.95448275862068976</v>
      </c>
      <c r="R32" s="170"/>
      <c r="S32" s="27">
        <v>0.24027777777777776</v>
      </c>
      <c r="T32" s="27">
        <v>0.34097222222222218</v>
      </c>
      <c r="U32" s="4">
        <f t="shared" si="30"/>
        <v>4.9999999999999822</v>
      </c>
      <c r="V32" s="21">
        <f t="shared" si="29"/>
        <v>144.99999999999997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-109.24137931034466</v>
      </c>
      <c r="AF32" s="20">
        <f t="shared" si="9"/>
        <v>0.95448275862068976</v>
      </c>
      <c r="AG32" s="170"/>
    </row>
    <row r="33" spans="1:33">
      <c r="A33" s="189" t="s">
        <v>59</v>
      </c>
      <c r="B33" s="35" t="s">
        <v>97</v>
      </c>
      <c r="C33" s="163" t="s">
        <v>107</v>
      </c>
      <c r="D33" s="163"/>
      <c r="E33" s="35">
        <v>20.52</v>
      </c>
      <c r="F33" s="4">
        <v>2883</v>
      </c>
      <c r="G33" s="4">
        <f t="shared" si="27"/>
        <v>59159.159999999996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si="28"/>
        <v>2306.4000000000005</v>
      </c>
      <c r="N33" s="16">
        <f t="shared" si="3"/>
        <v>128.13333333333335</v>
      </c>
      <c r="O33" s="18">
        <f t="shared" si="4"/>
        <v>0</v>
      </c>
      <c r="P33" s="19">
        <f t="shared" si="5"/>
        <v>-5.1999999999999886</v>
      </c>
      <c r="Q33" s="20">
        <f t="shared" si="6"/>
        <v>0.96100000000000008</v>
      </c>
      <c r="R33" s="170"/>
      <c r="S33" s="27">
        <v>0.34513888888888883</v>
      </c>
      <c r="T33" s="27">
        <v>0.39722222222222214</v>
      </c>
      <c r="U33" s="4">
        <f t="shared" si="30"/>
        <v>5.9999999999999787</v>
      </c>
      <c r="V33" s="21">
        <f t="shared" si="29"/>
        <v>74.999999999999972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-93.599999999999454</v>
      </c>
      <c r="AF33" s="20">
        <f t="shared" si="9"/>
        <v>0.96100000000000019</v>
      </c>
      <c r="AG33" s="170"/>
    </row>
    <row r="34" spans="1:33">
      <c r="A34" s="189" t="s">
        <v>59</v>
      </c>
      <c r="B34" s="35" t="s">
        <v>97</v>
      </c>
      <c r="C34" s="163" t="s">
        <v>304</v>
      </c>
      <c r="D34" s="163"/>
      <c r="E34" s="35">
        <v>22.69</v>
      </c>
      <c r="F34" s="4">
        <v>5860</v>
      </c>
      <c r="G34" s="4">
        <f t="shared" si="27"/>
        <v>132963.4</v>
      </c>
      <c r="H34" s="21" t="s">
        <v>133</v>
      </c>
      <c r="I34" s="15">
        <v>15</v>
      </c>
      <c r="J34" s="17">
        <v>2400</v>
      </c>
      <c r="K34" s="16">
        <f t="shared" si="1"/>
        <v>160</v>
      </c>
      <c r="L34" s="15">
        <v>15</v>
      </c>
      <c r="M34" s="17">
        <f t="shared" si="28"/>
        <v>2283.116883116882</v>
      </c>
      <c r="N34" s="16">
        <f t="shared" si="3"/>
        <v>152.20779220779212</v>
      </c>
      <c r="O34" s="18">
        <f t="shared" si="4"/>
        <v>0</v>
      </c>
      <c r="P34" s="19">
        <f t="shared" si="5"/>
        <v>-7.7922077922078756</v>
      </c>
      <c r="Q34" s="20">
        <f t="shared" si="6"/>
        <v>0.95129870129870076</v>
      </c>
      <c r="R34" s="170"/>
      <c r="S34" s="27">
        <v>0.40277777777777768</v>
      </c>
      <c r="T34" s="27">
        <v>0.50972222222222219</v>
      </c>
      <c r="U34" s="4">
        <f t="shared" si="30"/>
        <v>7.9999999999999716</v>
      </c>
      <c r="V34" s="21">
        <f t="shared" si="29"/>
        <v>154.00000000000009</v>
      </c>
      <c r="W34" s="22">
        <f>T34</f>
        <v>0.50972222222222219</v>
      </c>
      <c r="X34" s="22">
        <f>S35</f>
        <v>0.54999999999999993</v>
      </c>
      <c r="Y34" s="22"/>
      <c r="Z34" s="22"/>
      <c r="AA34" s="162"/>
      <c r="AB34" s="162"/>
      <c r="AC34" s="24"/>
      <c r="AD34" s="24"/>
      <c r="AE34" s="18">
        <f t="shared" si="8"/>
        <v>-116.88311688311796</v>
      </c>
      <c r="AF34" s="20">
        <f t="shared" si="9"/>
        <v>0.95129870129870087</v>
      </c>
      <c r="AG34" s="170"/>
    </row>
    <row r="35" spans="1:33">
      <c r="A35" s="189" t="s">
        <v>1668</v>
      </c>
      <c r="B35" s="35" t="s">
        <v>97</v>
      </c>
      <c r="C35" s="163" t="s">
        <v>103</v>
      </c>
      <c r="D35" s="163"/>
      <c r="E35" s="35">
        <v>26.2</v>
      </c>
      <c r="F35" s="4">
        <v>2759</v>
      </c>
      <c r="G35" s="4">
        <f t="shared" si="27"/>
        <v>72285.8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8"/>
        <v>2299.1666666666647</v>
      </c>
      <c r="N35" s="16">
        <f t="shared" si="3"/>
        <v>127.73148148148137</v>
      </c>
      <c r="O35" s="18">
        <f t="shared" si="4"/>
        <v>0</v>
      </c>
      <c r="P35" s="19">
        <f t="shared" si="5"/>
        <v>-5.6018518518519755</v>
      </c>
      <c r="Q35" s="20">
        <f t="shared" si="6"/>
        <v>0.95798611111111021</v>
      </c>
      <c r="R35" s="170"/>
      <c r="S35" s="27">
        <v>0.54999999999999993</v>
      </c>
      <c r="T35" s="27">
        <v>0.6</v>
      </c>
      <c r="U35" s="4">
        <f t="shared" si="30"/>
        <v>57.999999999999957</v>
      </c>
      <c r="V35" s="21">
        <f t="shared" si="29"/>
        <v>72.000000000000057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-100.8333333333353</v>
      </c>
      <c r="AF35" s="20">
        <f t="shared" si="9"/>
        <v>0.95798611111111032</v>
      </c>
      <c r="AG35" s="170"/>
    </row>
    <row r="36" spans="1:33">
      <c r="A36" s="189" t="s">
        <v>59</v>
      </c>
      <c r="B36" s="16" t="s">
        <v>1664</v>
      </c>
      <c r="C36" s="171"/>
      <c r="D36" s="171"/>
      <c r="E36" s="36"/>
      <c r="F36" s="16"/>
      <c r="G36" s="16"/>
      <c r="H36" s="4"/>
      <c r="I36" s="29">
        <v>17.666666666666668</v>
      </c>
      <c r="J36" s="17">
        <v>2400</v>
      </c>
      <c r="K36" s="16">
        <f t="shared" si="1"/>
        <v>135.84905660377356</v>
      </c>
      <c r="L36" s="29">
        <v>17.666666666666668</v>
      </c>
      <c r="M36" s="17">
        <f>AVERAGE(M30:M35)</f>
        <v>2297.2156487236721</v>
      </c>
      <c r="N36" s="16">
        <f t="shared" si="3"/>
        <v>130.0310744560569</v>
      </c>
      <c r="O36" s="18">
        <f t="shared" si="4"/>
        <v>0</v>
      </c>
      <c r="P36" s="19">
        <f t="shared" si="5"/>
        <v>-5.8179821477166627</v>
      </c>
      <c r="Q36" s="20">
        <f t="shared" si="6"/>
        <v>0.95717318696819675</v>
      </c>
      <c r="R36" s="170"/>
      <c r="S36" s="27"/>
      <c r="T36" s="27"/>
      <c r="U36" s="16"/>
      <c r="V36" s="21"/>
      <c r="W36" s="16"/>
      <c r="X36" s="16"/>
      <c r="Y36" s="30">
        <f>SUM(Y30:Y35)</f>
        <v>0</v>
      </c>
      <c r="Z36" s="30">
        <f>SUM(Z30:Z35)</f>
        <v>0</v>
      </c>
      <c r="AA36" s="166"/>
      <c r="AB36" s="166"/>
      <c r="AC36" s="30">
        <f>SUM(AC30:AC35)</f>
        <v>6</v>
      </c>
      <c r="AD36" s="30">
        <f>SUM(AD30:AD35)</f>
        <v>0</v>
      </c>
      <c r="AE36" s="18">
        <f t="shared" si="8"/>
        <v>-102.78435127632793</v>
      </c>
      <c r="AF36" s="20">
        <f t="shared" si="9"/>
        <v>0.95717318696819664</v>
      </c>
      <c r="AG36" s="170"/>
    </row>
    <row r="37" spans="1:33" ht="15.75" customHeight="1">
      <c r="A37" s="182" t="s">
        <v>68</v>
      </c>
      <c r="B37" s="35" t="s">
        <v>108</v>
      </c>
      <c r="C37" s="174" t="s">
        <v>1514</v>
      </c>
      <c r="D37" s="175"/>
      <c r="E37" s="35">
        <v>32.82</v>
      </c>
      <c r="F37" s="4">
        <v>5795</v>
      </c>
      <c r="G37" s="4">
        <f t="shared" ref="G37:G44" si="31">E37*F37</f>
        <v>190191.9</v>
      </c>
      <c r="H37" s="21" t="s">
        <v>133</v>
      </c>
      <c r="I37" s="15">
        <v>8</v>
      </c>
      <c r="J37" s="17">
        <v>3000</v>
      </c>
      <c r="K37" s="16">
        <f t="shared" si="1"/>
        <v>375</v>
      </c>
      <c r="L37" s="15">
        <v>8</v>
      </c>
      <c r="M37" s="17">
        <f t="shared" ref="M37:M44" si="32">F37/V37*60</f>
        <v>2873.5537190082646</v>
      </c>
      <c r="N37" s="17">
        <f t="shared" si="3"/>
        <v>359.19421487603307</v>
      </c>
      <c r="O37" s="18">
        <f t="shared" si="4"/>
        <v>0</v>
      </c>
      <c r="P37" s="19">
        <f t="shared" si="5"/>
        <v>-15.805785123966928</v>
      </c>
      <c r="Q37" s="20">
        <f t="shared" si="6"/>
        <v>0.95785123966942154</v>
      </c>
      <c r="R37" s="185">
        <f>Q45</f>
        <v>0.96002152738083324</v>
      </c>
      <c r="S37" s="27">
        <v>8.3333333333333329E-2</v>
      </c>
      <c r="T37" s="27">
        <v>0.1673611111111111</v>
      </c>
      <c r="U37" s="27"/>
      <c r="V37" s="21">
        <f t="shared" ref="V37:V44" si="33">(T37-S37)*24*60</f>
        <v>121</v>
      </c>
      <c r="W37" s="22"/>
      <c r="X37" s="22"/>
      <c r="Y37" s="25"/>
      <c r="Z37" s="25"/>
      <c r="AA37" s="176"/>
      <c r="AB37" s="177"/>
      <c r="AC37" s="24">
        <v>8</v>
      </c>
      <c r="AD37" s="24"/>
      <c r="AE37" s="18">
        <f t="shared" si="8"/>
        <v>-126.44628099173542</v>
      </c>
      <c r="AF37" s="20">
        <f t="shared" si="9"/>
        <v>0.95785123966942154</v>
      </c>
      <c r="AG37" s="185">
        <f>AF45</f>
        <v>0.96002152738083324</v>
      </c>
    </row>
    <row r="38" spans="1:33" ht="15.75" customHeight="1">
      <c r="A38" s="183" t="s">
        <v>1669</v>
      </c>
      <c r="B38" s="35" t="s">
        <v>108</v>
      </c>
      <c r="C38" s="174" t="s">
        <v>109</v>
      </c>
      <c r="D38" s="175"/>
      <c r="E38" s="35">
        <v>34.36</v>
      </c>
      <c r="F38" s="4">
        <v>1983</v>
      </c>
      <c r="G38" s="4">
        <f t="shared" si="31"/>
        <v>68135.88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si="32"/>
        <v>2901.9512195121938</v>
      </c>
      <c r="N38" s="17">
        <f t="shared" si="3"/>
        <v>290.19512195121939</v>
      </c>
      <c r="O38" s="18">
        <f t="shared" si="4"/>
        <v>0</v>
      </c>
      <c r="P38" s="19">
        <f t="shared" si="5"/>
        <v>-9.8048780487806084</v>
      </c>
      <c r="Q38" s="20">
        <f t="shared" si="6"/>
        <v>0.96731707317073135</v>
      </c>
      <c r="R38" s="186"/>
      <c r="S38" s="27">
        <v>0.17152777777777778</v>
      </c>
      <c r="T38" s="27">
        <v>0.2</v>
      </c>
      <c r="U38" s="4">
        <f t="shared" ref="U38:U44" si="34">(S38-T37)*24*60</f>
        <v>6.0000000000000187</v>
      </c>
      <c r="V38" s="21">
        <f t="shared" si="33"/>
        <v>41.000000000000014</v>
      </c>
      <c r="W38" s="22">
        <f>T38</f>
        <v>0.2</v>
      </c>
      <c r="X38" s="22">
        <f>S39</f>
        <v>0.21736111111111109</v>
      </c>
      <c r="Y38" s="25"/>
      <c r="Z38" s="25"/>
      <c r="AA38" s="176"/>
      <c r="AB38" s="177"/>
      <c r="AC38" s="24"/>
      <c r="AD38" s="24"/>
      <c r="AE38" s="18">
        <f t="shared" si="8"/>
        <v>-98.048780487806198</v>
      </c>
      <c r="AF38" s="20">
        <f t="shared" si="9"/>
        <v>0.96731707317073123</v>
      </c>
      <c r="AG38" s="186"/>
    </row>
    <row r="39" spans="1:33" ht="15.75" customHeight="1">
      <c r="A39" s="183" t="s">
        <v>68</v>
      </c>
      <c r="B39" s="35" t="s">
        <v>108</v>
      </c>
      <c r="C39" s="174" t="s">
        <v>110</v>
      </c>
      <c r="D39" s="175"/>
      <c r="E39" s="35">
        <v>26.78</v>
      </c>
      <c r="F39" s="4">
        <v>2491</v>
      </c>
      <c r="G39" s="4">
        <f t="shared" si="31"/>
        <v>66708.98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2874.2307692307681</v>
      </c>
      <c r="N39" s="17">
        <f t="shared" si="3"/>
        <v>287.42307692307679</v>
      </c>
      <c r="O39" s="18">
        <f t="shared" si="4"/>
        <v>0</v>
      </c>
      <c r="P39" s="19">
        <f t="shared" si="5"/>
        <v>-12.576923076923208</v>
      </c>
      <c r="Q39" s="20">
        <f t="shared" si="6"/>
        <v>0.9580769230769226</v>
      </c>
      <c r="R39" s="186"/>
      <c r="S39" s="27">
        <v>0.21736111111111109</v>
      </c>
      <c r="T39" s="27">
        <v>0.25347222222222221</v>
      </c>
      <c r="U39" s="4">
        <f t="shared" si="34"/>
        <v>24.99999999999995</v>
      </c>
      <c r="V39" s="21">
        <f t="shared" si="33"/>
        <v>52.000000000000014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-125.76923076923185</v>
      </c>
      <c r="AF39" s="20">
        <f t="shared" si="9"/>
        <v>0.95807692307692272</v>
      </c>
      <c r="AG39" s="186"/>
    </row>
    <row r="40" spans="1:33" ht="15.75" customHeight="1">
      <c r="A40" s="183" t="s">
        <v>1669</v>
      </c>
      <c r="B40" s="35" t="s">
        <v>108</v>
      </c>
      <c r="C40" s="174" t="s">
        <v>111</v>
      </c>
      <c r="D40" s="175"/>
      <c r="E40" s="35">
        <v>21.13</v>
      </c>
      <c r="F40" s="4">
        <v>4877</v>
      </c>
      <c r="G40" s="4">
        <f t="shared" si="31"/>
        <v>103051.01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2868.8235294117658</v>
      </c>
      <c r="N40" s="17">
        <f t="shared" si="3"/>
        <v>286.88235294117658</v>
      </c>
      <c r="O40" s="18">
        <f t="shared" si="4"/>
        <v>0</v>
      </c>
      <c r="P40" s="19">
        <f t="shared" si="5"/>
        <v>-13.117647058823422</v>
      </c>
      <c r="Q40" s="20">
        <f t="shared" si="6"/>
        <v>0.95627450980392192</v>
      </c>
      <c r="R40" s="186"/>
      <c r="S40" s="27">
        <v>0.2583333333333333</v>
      </c>
      <c r="T40" s="27">
        <v>0.32916666666666661</v>
      </c>
      <c r="U40" s="4">
        <f t="shared" si="34"/>
        <v>6.9999999999999751</v>
      </c>
      <c r="V40" s="21">
        <f t="shared" si="33"/>
        <v>101.99999999999996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-131.17647058823422</v>
      </c>
      <c r="AF40" s="20">
        <f t="shared" si="9"/>
        <v>0.95627450980392192</v>
      </c>
      <c r="AG40" s="186"/>
    </row>
    <row r="41" spans="1:33" ht="15.75" customHeight="1">
      <c r="A41" s="183" t="s">
        <v>1669</v>
      </c>
      <c r="B41" s="35" t="s">
        <v>108</v>
      </c>
      <c r="C41" s="174" t="s">
        <v>112</v>
      </c>
      <c r="D41" s="175"/>
      <c r="E41" s="35">
        <v>27.17</v>
      </c>
      <c r="F41" s="4">
        <v>4300</v>
      </c>
      <c r="G41" s="4">
        <f t="shared" si="31"/>
        <v>116831.00000000001</v>
      </c>
      <c r="H41" s="21">
        <v>2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2866.6666666666665</v>
      </c>
      <c r="N41" s="17">
        <f t="shared" si="3"/>
        <v>286.66666666666663</v>
      </c>
      <c r="O41" s="18">
        <f t="shared" si="4"/>
        <v>0</v>
      </c>
      <c r="P41" s="19">
        <f t="shared" si="5"/>
        <v>-13.333333333333371</v>
      </c>
      <c r="Q41" s="20">
        <f t="shared" si="6"/>
        <v>0.95555555555555538</v>
      </c>
      <c r="R41" s="186"/>
      <c r="S41" s="27">
        <v>0.3340277777777777</v>
      </c>
      <c r="T41" s="27">
        <v>0.3965277777777777</v>
      </c>
      <c r="U41" s="4">
        <f t="shared" si="34"/>
        <v>6.9999999999999751</v>
      </c>
      <c r="V41" s="21">
        <f t="shared" si="33"/>
        <v>90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-133.33333333333348</v>
      </c>
      <c r="AF41" s="20">
        <f t="shared" si="9"/>
        <v>0.95555555555555549</v>
      </c>
      <c r="AG41" s="186"/>
    </row>
    <row r="42" spans="1:33" ht="15.75" customHeight="1">
      <c r="A42" s="183" t="s">
        <v>68</v>
      </c>
      <c r="B42" s="35" t="s">
        <v>108</v>
      </c>
      <c r="C42" s="174" t="s">
        <v>305</v>
      </c>
      <c r="D42" s="175"/>
      <c r="E42" s="35">
        <v>28.3</v>
      </c>
      <c r="F42" s="4">
        <v>2642</v>
      </c>
      <c r="G42" s="4">
        <f t="shared" si="31"/>
        <v>74768.600000000006</v>
      </c>
      <c r="H42" s="21" t="s">
        <v>133</v>
      </c>
      <c r="I42" s="15">
        <v>8</v>
      </c>
      <c r="J42" s="17">
        <v>3000</v>
      </c>
      <c r="K42" s="16">
        <f t="shared" si="1"/>
        <v>375</v>
      </c>
      <c r="L42" s="15">
        <v>8</v>
      </c>
      <c r="M42" s="17">
        <f t="shared" si="32"/>
        <v>2882.1818181818198</v>
      </c>
      <c r="N42" s="17">
        <f t="shared" si="3"/>
        <v>360.27272727272748</v>
      </c>
      <c r="O42" s="18">
        <f t="shared" si="4"/>
        <v>0</v>
      </c>
      <c r="P42" s="19">
        <f t="shared" si="5"/>
        <v>-14.727272727272521</v>
      </c>
      <c r="Q42" s="20">
        <f t="shared" si="6"/>
        <v>0.96072727272727332</v>
      </c>
      <c r="R42" s="186"/>
      <c r="S42" s="27">
        <v>0.4013888888888888</v>
      </c>
      <c r="T42" s="27">
        <v>0.43958333333333321</v>
      </c>
      <c r="U42" s="4">
        <f t="shared" si="34"/>
        <v>6.9999999999999751</v>
      </c>
      <c r="V42" s="21">
        <f t="shared" si="33"/>
        <v>54.999999999999964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-117.81818181818016</v>
      </c>
      <c r="AF42" s="20">
        <f t="shared" si="9"/>
        <v>0.96072727272727332</v>
      </c>
      <c r="AG42" s="186"/>
    </row>
    <row r="43" spans="1:33" ht="15.75" customHeight="1">
      <c r="A43" s="183" t="s">
        <v>1669</v>
      </c>
      <c r="B43" s="35" t="s">
        <v>108</v>
      </c>
      <c r="C43" s="174" t="s">
        <v>113</v>
      </c>
      <c r="D43" s="175"/>
      <c r="E43" s="35">
        <v>35.869999999999997</v>
      </c>
      <c r="F43" s="4">
        <v>3654</v>
      </c>
      <c r="G43" s="4">
        <f t="shared" si="31"/>
        <v>131068.98</v>
      </c>
      <c r="H43" s="21" t="s">
        <v>133</v>
      </c>
      <c r="I43" s="15">
        <v>9</v>
      </c>
      <c r="J43" s="17">
        <v>3000</v>
      </c>
      <c r="K43" s="16">
        <f t="shared" si="1"/>
        <v>333.33333333333331</v>
      </c>
      <c r="L43" s="15">
        <v>9</v>
      </c>
      <c r="M43" s="17">
        <f t="shared" si="32"/>
        <v>2884.7368421052643</v>
      </c>
      <c r="N43" s="17">
        <f t="shared" si="3"/>
        <v>320.52631578947381</v>
      </c>
      <c r="O43" s="18">
        <f t="shared" si="4"/>
        <v>0</v>
      </c>
      <c r="P43" s="19">
        <f t="shared" si="5"/>
        <v>-12.807017543859502</v>
      </c>
      <c r="Q43" s="20">
        <f t="shared" si="6"/>
        <v>0.96157894736842153</v>
      </c>
      <c r="R43" s="186"/>
      <c r="S43" s="27">
        <v>0.44305555555555542</v>
      </c>
      <c r="T43" s="27">
        <v>0.49583333333333318</v>
      </c>
      <c r="U43" s="4">
        <f t="shared" si="34"/>
        <v>4.9999999999999822</v>
      </c>
      <c r="V43" s="21">
        <f t="shared" si="33"/>
        <v>75.999999999999972</v>
      </c>
      <c r="W43" s="22">
        <f>T43</f>
        <v>0.49583333333333318</v>
      </c>
      <c r="X43" s="22">
        <f>S44</f>
        <v>0.53541666666666654</v>
      </c>
      <c r="Y43" s="25"/>
      <c r="Z43" s="25"/>
      <c r="AA43" s="176"/>
      <c r="AB43" s="177"/>
      <c r="AC43" s="24"/>
      <c r="AD43" s="24"/>
      <c r="AE43" s="18">
        <f t="shared" si="8"/>
        <v>-115.26315789473574</v>
      </c>
      <c r="AF43" s="20">
        <f t="shared" si="9"/>
        <v>0.96157894736842142</v>
      </c>
      <c r="AG43" s="186"/>
    </row>
    <row r="44" spans="1:33" ht="15.75" customHeight="1">
      <c r="A44" s="183" t="s">
        <v>1669</v>
      </c>
      <c r="B44" s="35" t="s">
        <v>108</v>
      </c>
      <c r="C44" s="174" t="s">
        <v>112</v>
      </c>
      <c r="D44" s="175"/>
      <c r="E44" s="35">
        <v>27.17</v>
      </c>
      <c r="F44" s="4">
        <v>2070</v>
      </c>
      <c r="G44" s="4">
        <f t="shared" si="31"/>
        <v>56241.9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si="32"/>
        <v>2888.3720930232553</v>
      </c>
      <c r="N44" s="17">
        <f t="shared" si="3"/>
        <v>288.8372093023255</v>
      </c>
      <c r="O44" s="18">
        <f t="shared" si="4"/>
        <v>0</v>
      </c>
      <c r="P44" s="19">
        <f t="shared" si="5"/>
        <v>-11.162790697674495</v>
      </c>
      <c r="Q44" s="20">
        <f t="shared" si="6"/>
        <v>0.96279069767441838</v>
      </c>
      <c r="R44" s="186"/>
      <c r="S44" s="27">
        <v>0.53541666666666654</v>
      </c>
      <c r="T44" s="27">
        <v>0.56527777777777766</v>
      </c>
      <c r="U44" s="4">
        <f t="shared" si="34"/>
        <v>57.000000000000036</v>
      </c>
      <c r="V44" s="21">
        <f t="shared" si="33"/>
        <v>43.000000000000007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-111.62790697674473</v>
      </c>
      <c r="AF44" s="20">
        <f t="shared" si="9"/>
        <v>0.96279069767441838</v>
      </c>
      <c r="AG44" s="186"/>
    </row>
    <row r="45" spans="1:33" ht="15.75" customHeight="1">
      <c r="A45" s="184" t="s">
        <v>1670</v>
      </c>
      <c r="B45" s="35" t="s">
        <v>1664</v>
      </c>
      <c r="C45" s="164"/>
      <c r="D45" s="165"/>
      <c r="E45" s="37"/>
      <c r="F45" s="4"/>
      <c r="G45" s="4"/>
      <c r="H45" s="4"/>
      <c r="I45" s="29">
        <v>9.375</v>
      </c>
      <c r="J45" s="17">
        <v>3000</v>
      </c>
      <c r="K45" s="16">
        <f t="shared" si="1"/>
        <v>320</v>
      </c>
      <c r="L45" s="29">
        <v>9.375</v>
      </c>
      <c r="M45" s="17">
        <f>AVERAGE(M37:M44)</f>
        <v>2880.0645821424996</v>
      </c>
      <c r="N45" s="16">
        <f t="shared" si="3"/>
        <v>307.20688876186665</v>
      </c>
      <c r="O45" s="18">
        <f t="shared" si="4"/>
        <v>0</v>
      </c>
      <c r="P45" s="19">
        <f t="shared" si="5"/>
        <v>-12.793111238133349</v>
      </c>
      <c r="Q45" s="20">
        <f t="shared" si="6"/>
        <v>0.96002152738083324</v>
      </c>
      <c r="R45" s="187"/>
      <c r="S45" s="27"/>
      <c r="T45" s="27"/>
      <c r="U45" s="4"/>
      <c r="V45" s="21"/>
      <c r="W45" s="22"/>
      <c r="X45" s="22"/>
      <c r="Y45" s="30">
        <f>SUM(Y37:Y44)</f>
        <v>0</v>
      </c>
      <c r="Z45" s="30">
        <f>SUM(Z37:Z44)</f>
        <v>0</v>
      </c>
      <c r="AA45" s="180"/>
      <c r="AB45" s="181"/>
      <c r="AC45" s="30">
        <f>SUM(AC37:AC44)</f>
        <v>8</v>
      </c>
      <c r="AD45" s="30">
        <f>SUM(AD37:AD44)</f>
        <v>0</v>
      </c>
      <c r="AE45" s="18">
        <f t="shared" si="8"/>
        <v>-119.9354178575004</v>
      </c>
      <c r="AF45" s="20">
        <f t="shared" si="9"/>
        <v>0.96002152738083324</v>
      </c>
      <c r="AG45" s="187"/>
    </row>
    <row r="46" spans="1:33" ht="15.75" customHeight="1">
      <c r="A46" s="178" t="s">
        <v>72</v>
      </c>
      <c r="B46" s="35" t="s">
        <v>84</v>
      </c>
      <c r="C46" s="163" t="s">
        <v>114</v>
      </c>
      <c r="D46" s="163"/>
      <c r="E46" s="35">
        <v>46</v>
      </c>
      <c r="F46" s="38">
        <v>2108</v>
      </c>
      <c r="G46" s="4">
        <f t="shared" ref="G46:G52" si="35">E46*F46</f>
        <v>96968</v>
      </c>
      <c r="H46" s="21" t="s">
        <v>133</v>
      </c>
      <c r="I46" s="15">
        <v>17</v>
      </c>
      <c r="J46" s="17">
        <v>2000</v>
      </c>
      <c r="K46" s="16">
        <f t="shared" si="1"/>
        <v>117.64705882352941</v>
      </c>
      <c r="L46" s="15">
        <v>17</v>
      </c>
      <c r="M46" s="17">
        <f t="shared" ref="M46" si="36">F46/V46*60</f>
        <v>1916.3636363636372</v>
      </c>
      <c r="N46" s="17">
        <f t="shared" si="3"/>
        <v>112.72727272727278</v>
      </c>
      <c r="O46" s="18">
        <f t="shared" si="4"/>
        <v>0</v>
      </c>
      <c r="P46" s="19">
        <f t="shared" si="5"/>
        <v>-4.9197860962566295</v>
      </c>
      <c r="Q46" s="20">
        <f t="shared" si="6"/>
        <v>0.95818181818181869</v>
      </c>
      <c r="R46" s="170">
        <f>Q53</f>
        <v>0.95140429862394438</v>
      </c>
      <c r="S46" s="27">
        <v>0.20833333333333334</v>
      </c>
      <c r="T46" s="27">
        <v>0.25416666666666665</v>
      </c>
      <c r="U46" s="27"/>
      <c r="V46" s="21">
        <f t="shared" ref="V46:V52" si="37">(T46-S46)*24*60</f>
        <v>65.999999999999972</v>
      </c>
      <c r="W46" s="27"/>
      <c r="X46" s="27"/>
      <c r="Y46" s="27"/>
      <c r="Z46" s="27"/>
      <c r="AA46" s="162"/>
      <c r="AB46" s="162"/>
      <c r="AC46" s="24">
        <v>7</v>
      </c>
      <c r="AD46" s="24"/>
      <c r="AE46" s="18">
        <f t="shared" si="8"/>
        <v>-83.63636363636283</v>
      </c>
      <c r="AF46" s="20">
        <f t="shared" si="9"/>
        <v>0.95818181818181858</v>
      </c>
      <c r="AG46" s="170">
        <f>AF53</f>
        <v>0.95140429862394449</v>
      </c>
    </row>
    <row r="47" spans="1:33" ht="15.75" customHeight="1">
      <c r="A47" s="178" t="s">
        <v>72</v>
      </c>
      <c r="B47" s="35" t="s">
        <v>78</v>
      </c>
      <c r="C47" s="163" t="s">
        <v>115</v>
      </c>
      <c r="D47" s="163"/>
      <c r="E47" s="35">
        <v>56.43</v>
      </c>
      <c r="F47" s="38">
        <v>1498</v>
      </c>
      <c r="G47" s="4">
        <f t="shared" si="35"/>
        <v>84532.14</v>
      </c>
      <c r="H47" s="21" t="s">
        <v>133</v>
      </c>
      <c r="I47" s="15">
        <v>22</v>
      </c>
      <c r="J47" s="17">
        <v>2000</v>
      </c>
      <c r="K47" s="16">
        <f t="shared" si="1"/>
        <v>90.909090909090907</v>
      </c>
      <c r="L47" s="15">
        <v>22</v>
      </c>
      <c r="M47" s="17">
        <f>F47/V47*60</f>
        <v>1872.5000000000005</v>
      </c>
      <c r="N47" s="17">
        <f t="shared" si="3"/>
        <v>85.113636363636388</v>
      </c>
      <c r="O47" s="18">
        <f t="shared" si="4"/>
        <v>0</v>
      </c>
      <c r="P47" s="19">
        <f t="shared" si="5"/>
        <v>-5.7954545454545183</v>
      </c>
      <c r="Q47" s="20">
        <f t="shared" si="6"/>
        <v>0.93625000000000025</v>
      </c>
      <c r="R47" s="170"/>
      <c r="S47" s="27">
        <v>0.25763888888888886</v>
      </c>
      <c r="T47" s="27">
        <v>0.29097222222222219</v>
      </c>
      <c r="U47" s="4">
        <f t="shared" ref="U47:U52" si="38">IF(S47=TIME(17,0,0),"",(S47-T46)*24*60)</f>
        <v>4.9999999999999822</v>
      </c>
      <c r="V47" s="21">
        <f t="shared" si="37"/>
        <v>47.999999999999986</v>
      </c>
      <c r="W47" s="22"/>
      <c r="X47" s="22"/>
      <c r="Y47" s="22"/>
      <c r="Z47" s="22"/>
      <c r="AA47" s="162"/>
      <c r="AB47" s="162"/>
      <c r="AC47" s="24"/>
      <c r="AD47" s="24"/>
      <c r="AE47" s="18">
        <f t="shared" si="8"/>
        <v>-127.49999999999955</v>
      </c>
      <c r="AF47" s="20">
        <f t="shared" si="9"/>
        <v>0.93625000000000025</v>
      </c>
      <c r="AG47" s="170"/>
    </row>
    <row r="48" spans="1:33" ht="15.75" customHeight="1">
      <c r="A48" s="178" t="s">
        <v>72</v>
      </c>
      <c r="B48" s="35" t="s">
        <v>78</v>
      </c>
      <c r="C48" s="174" t="s">
        <v>116</v>
      </c>
      <c r="D48" s="175"/>
      <c r="E48" s="35">
        <v>51.75</v>
      </c>
      <c r="F48" s="38">
        <v>1046</v>
      </c>
      <c r="G48" s="4">
        <f t="shared" si="35"/>
        <v>54130.5</v>
      </c>
      <c r="H48" s="21" t="s">
        <v>133</v>
      </c>
      <c r="I48" s="15">
        <v>25</v>
      </c>
      <c r="J48" s="17">
        <v>2000</v>
      </c>
      <c r="K48" s="16">
        <f t="shared" si="1"/>
        <v>80</v>
      </c>
      <c r="L48" s="15">
        <v>25</v>
      </c>
      <c r="M48" s="17">
        <f t="shared" ref="M48:M52" si="39">F48/V48*60</f>
        <v>1845.8823529411741</v>
      </c>
      <c r="N48" s="17">
        <f t="shared" si="3"/>
        <v>73.835294117646967</v>
      </c>
      <c r="O48" s="18">
        <f t="shared" si="4"/>
        <v>0</v>
      </c>
      <c r="P48" s="19">
        <f t="shared" si="5"/>
        <v>-6.164705882353033</v>
      </c>
      <c r="Q48" s="20">
        <f t="shared" si="6"/>
        <v>0.92294117647058704</v>
      </c>
      <c r="R48" s="170"/>
      <c r="S48" s="27">
        <v>0.29513888888888884</v>
      </c>
      <c r="T48" s="27">
        <v>0.31874999999999998</v>
      </c>
      <c r="U48" s="4">
        <f t="shared" si="38"/>
        <v>5.9999999999999787</v>
      </c>
      <c r="V48" s="21">
        <f t="shared" si="37"/>
        <v>34.000000000000043</v>
      </c>
      <c r="W48" s="22"/>
      <c r="X48" s="22"/>
      <c r="Y48" s="25"/>
      <c r="Z48" s="25"/>
      <c r="AA48" s="162"/>
      <c r="AB48" s="162"/>
      <c r="AC48" s="24"/>
      <c r="AD48" s="24"/>
      <c r="AE48" s="18">
        <f t="shared" si="8"/>
        <v>-154.11764705882592</v>
      </c>
      <c r="AF48" s="20">
        <f t="shared" si="9"/>
        <v>0.92294117647058704</v>
      </c>
      <c r="AG48" s="170"/>
    </row>
    <row r="49" spans="1:33" ht="15.75" customHeight="1">
      <c r="A49" s="178" t="s">
        <v>72</v>
      </c>
      <c r="B49" s="35" t="s">
        <v>78</v>
      </c>
      <c r="C49" s="39" t="s">
        <v>118</v>
      </c>
      <c r="D49" s="40"/>
      <c r="E49" s="35">
        <v>57.73</v>
      </c>
      <c r="F49" s="38">
        <v>931</v>
      </c>
      <c r="G49" s="4">
        <f t="shared" si="35"/>
        <v>53746.63</v>
      </c>
      <c r="H49" s="21" t="s">
        <v>133</v>
      </c>
      <c r="I49" s="15">
        <v>16</v>
      </c>
      <c r="J49" s="17">
        <v>1500</v>
      </c>
      <c r="K49" s="16">
        <f t="shared" si="1"/>
        <v>93.75</v>
      </c>
      <c r="L49" s="15">
        <v>16</v>
      </c>
      <c r="M49" s="17">
        <f t="shared" si="39"/>
        <v>1432.3076923076915</v>
      </c>
      <c r="N49" s="17">
        <f t="shared" si="3"/>
        <v>89.519230769230717</v>
      </c>
      <c r="O49" s="18">
        <f t="shared" si="4"/>
        <v>0</v>
      </c>
      <c r="P49" s="19">
        <f t="shared" si="5"/>
        <v>-4.2307692307692832</v>
      </c>
      <c r="Q49" s="20">
        <f t="shared" si="6"/>
        <v>0.9548717948717943</v>
      </c>
      <c r="R49" s="170"/>
      <c r="S49" s="27">
        <v>0.70833333333333337</v>
      </c>
      <c r="T49" s="27">
        <v>0.73541666666666672</v>
      </c>
      <c r="U49" s="4" t="str">
        <f t="shared" si="38"/>
        <v/>
      </c>
      <c r="V49" s="21">
        <f t="shared" si="37"/>
        <v>39.000000000000021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-67.692307692308532</v>
      </c>
      <c r="AF49" s="20">
        <f t="shared" si="9"/>
        <v>0.9548717948717943</v>
      </c>
      <c r="AG49" s="170"/>
    </row>
    <row r="50" spans="1:33" ht="15.75" customHeight="1">
      <c r="A50" s="178" t="s">
        <v>72</v>
      </c>
      <c r="B50" s="35" t="s">
        <v>78</v>
      </c>
      <c r="C50" s="39" t="s">
        <v>119</v>
      </c>
      <c r="D50" s="40"/>
      <c r="E50" s="35">
        <v>54.29</v>
      </c>
      <c r="F50" s="38">
        <v>945</v>
      </c>
      <c r="G50" s="4">
        <f t="shared" si="35"/>
        <v>51304.049999999996</v>
      </c>
      <c r="H50" s="21" t="s">
        <v>133</v>
      </c>
      <c r="I50" s="15">
        <v>20</v>
      </c>
      <c r="J50" s="17">
        <v>2000</v>
      </c>
      <c r="K50" s="16">
        <f t="shared" si="1"/>
        <v>100</v>
      </c>
      <c r="L50" s="15">
        <v>20</v>
      </c>
      <c r="M50" s="17">
        <f t="shared" si="39"/>
        <v>1955.1724137930996</v>
      </c>
      <c r="N50" s="17">
        <f t="shared" si="3"/>
        <v>97.758620689654975</v>
      </c>
      <c r="O50" s="18">
        <f t="shared" si="4"/>
        <v>0</v>
      </c>
      <c r="P50" s="19">
        <f t="shared" si="5"/>
        <v>-2.2413793103450246</v>
      </c>
      <c r="Q50" s="20">
        <f t="shared" si="6"/>
        <v>0.97758620689654974</v>
      </c>
      <c r="R50" s="170"/>
      <c r="S50" s="27">
        <v>0.73888888888888893</v>
      </c>
      <c r="T50" s="27">
        <v>0.75902777777777786</v>
      </c>
      <c r="U50" s="4">
        <f t="shared" si="38"/>
        <v>4.9999999999999822</v>
      </c>
      <c r="V50" s="21">
        <f t="shared" si="37"/>
        <v>29.000000000000057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-44.827586206900378</v>
      </c>
      <c r="AF50" s="20">
        <f t="shared" si="9"/>
        <v>0.97758620689654985</v>
      </c>
      <c r="AG50" s="170"/>
    </row>
    <row r="51" spans="1:33" ht="15.75" customHeight="1">
      <c r="A51" s="178" t="s">
        <v>72</v>
      </c>
      <c r="B51" s="35" t="s">
        <v>78</v>
      </c>
      <c r="C51" s="174" t="s">
        <v>120</v>
      </c>
      <c r="D51" s="175"/>
      <c r="E51" s="35">
        <v>55.56</v>
      </c>
      <c r="F51" s="38">
        <v>1565</v>
      </c>
      <c r="G51" s="4">
        <f t="shared" si="35"/>
        <v>86951.400000000009</v>
      </c>
      <c r="H51" s="21" t="s">
        <v>133</v>
      </c>
      <c r="I51" s="15">
        <v>17</v>
      </c>
      <c r="J51" s="17">
        <v>2000</v>
      </c>
      <c r="K51" s="16">
        <f t="shared" si="1"/>
        <v>117.64705882352941</v>
      </c>
      <c r="L51" s="15">
        <v>17</v>
      </c>
      <c r="M51" s="17">
        <f t="shared" si="39"/>
        <v>1916.3265306122455</v>
      </c>
      <c r="N51" s="17">
        <f t="shared" si="3"/>
        <v>112.72509003601444</v>
      </c>
      <c r="O51" s="18">
        <f t="shared" si="4"/>
        <v>0</v>
      </c>
      <c r="P51" s="19">
        <f t="shared" si="5"/>
        <v>-4.9219687875149702</v>
      </c>
      <c r="Q51" s="20">
        <f t="shared" si="6"/>
        <v>0.95816326530612272</v>
      </c>
      <c r="R51" s="170"/>
      <c r="S51" s="27">
        <v>0.76458333333333339</v>
      </c>
      <c r="T51" s="27">
        <v>0.79861111111111116</v>
      </c>
      <c r="U51" s="4">
        <f t="shared" si="38"/>
        <v>7.9999999999999716</v>
      </c>
      <c r="V51" s="21">
        <f t="shared" si="37"/>
        <v>48.999999999999986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-83.673469387754494</v>
      </c>
      <c r="AF51" s="20">
        <f t="shared" si="9"/>
        <v>0.95816326530612272</v>
      </c>
      <c r="AG51" s="170"/>
    </row>
    <row r="52" spans="1:33" ht="15.75" customHeight="1">
      <c r="A52" s="178" t="s">
        <v>72</v>
      </c>
      <c r="B52" s="35" t="s">
        <v>78</v>
      </c>
      <c r="C52" s="174" t="s">
        <v>121</v>
      </c>
      <c r="D52" s="175"/>
      <c r="E52" s="35">
        <v>55.32</v>
      </c>
      <c r="F52" s="38">
        <v>1175</v>
      </c>
      <c r="G52" s="4">
        <f t="shared" si="35"/>
        <v>65001</v>
      </c>
      <c r="H52" s="21" t="s">
        <v>133</v>
      </c>
      <c r="I52" s="15">
        <v>15</v>
      </c>
      <c r="J52" s="17">
        <v>2000</v>
      </c>
      <c r="K52" s="16">
        <f t="shared" si="1"/>
        <v>133.33333333333334</v>
      </c>
      <c r="L52" s="15">
        <v>15</v>
      </c>
      <c r="M52" s="17">
        <f t="shared" si="39"/>
        <v>1905.4054054054041</v>
      </c>
      <c r="N52" s="17">
        <f t="shared" si="3"/>
        <v>127.02702702702693</v>
      </c>
      <c r="O52" s="18">
        <f t="shared" si="4"/>
        <v>0</v>
      </c>
      <c r="P52" s="19">
        <f t="shared" si="5"/>
        <v>-6.3063063063064106</v>
      </c>
      <c r="Q52" s="20">
        <f t="shared" si="6"/>
        <v>0.95270270270270196</v>
      </c>
      <c r="R52" s="170"/>
      <c r="S52" s="27">
        <v>0.80347222222222225</v>
      </c>
      <c r="T52" s="27">
        <v>0.82916666666666672</v>
      </c>
      <c r="U52" s="4">
        <f t="shared" si="38"/>
        <v>6.9999999999999751</v>
      </c>
      <c r="V52" s="21">
        <f t="shared" si="37"/>
        <v>37.000000000000028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-94.594594594595947</v>
      </c>
      <c r="AF52" s="20">
        <f t="shared" si="9"/>
        <v>0.95270270270270208</v>
      </c>
      <c r="AG52" s="170"/>
    </row>
    <row r="53" spans="1:33">
      <c r="A53" s="179" t="s">
        <v>72</v>
      </c>
      <c r="B53" s="35" t="s">
        <v>48</v>
      </c>
      <c r="C53" s="171"/>
      <c r="D53" s="171"/>
      <c r="E53" s="36"/>
      <c r="F53" s="16"/>
      <c r="G53" s="16"/>
      <c r="H53" s="4"/>
      <c r="I53" s="29">
        <v>18.857142857142858</v>
      </c>
      <c r="J53" s="17">
        <v>1928.5714285714287</v>
      </c>
      <c r="K53" s="16">
        <f t="shared" si="1"/>
        <v>102.27272727272728</v>
      </c>
      <c r="L53" s="29">
        <v>18.857142857142858</v>
      </c>
      <c r="M53" s="17">
        <f>AVERAGE(M46:M52)</f>
        <v>1834.8511473461788</v>
      </c>
      <c r="N53" s="16">
        <f t="shared" si="3"/>
        <v>97.302712359267048</v>
      </c>
      <c r="O53" s="18">
        <f t="shared" si="4"/>
        <v>0</v>
      </c>
      <c r="P53" s="19">
        <f t="shared" si="5"/>
        <v>-4.9700149134602327</v>
      </c>
      <c r="Q53" s="20">
        <f t="shared" si="6"/>
        <v>0.95140429862394438</v>
      </c>
      <c r="R53" s="170"/>
      <c r="S53" s="27"/>
      <c r="T53" s="27"/>
      <c r="U53" s="4"/>
      <c r="V53" s="21"/>
      <c r="W53" s="16"/>
      <c r="X53" s="16"/>
      <c r="Y53" s="30">
        <f>SUM(Y46:Y52)</f>
        <v>0</v>
      </c>
      <c r="Z53" s="30">
        <f>SUM(Z46:Z52)</f>
        <v>0</v>
      </c>
      <c r="AA53" s="166"/>
      <c r="AB53" s="166"/>
      <c r="AC53" s="30">
        <f>SUM(AC46:AC52)</f>
        <v>7</v>
      </c>
      <c r="AD53" s="30">
        <f>SUM(AD46:AD52)</f>
        <v>0</v>
      </c>
      <c r="AE53" s="18">
        <f>M53-J53</f>
        <v>-93.720281225249892</v>
      </c>
      <c r="AF53" s="20">
        <f t="shared" si="9"/>
        <v>0.95140429862394449</v>
      </c>
      <c r="AG53" s="170"/>
    </row>
    <row r="54" spans="1:33" ht="15.75" customHeight="1">
      <c r="A54" s="172" t="s">
        <v>297</v>
      </c>
      <c r="B54" s="4" t="s">
        <v>108</v>
      </c>
      <c r="C54" s="163" t="s">
        <v>125</v>
      </c>
      <c r="D54" s="163"/>
      <c r="E54" s="35">
        <v>37.85</v>
      </c>
      <c r="F54" s="38">
        <v>1492</v>
      </c>
      <c r="G54" s="4">
        <f t="shared" ref="G54:G56" si="40">E54*F54</f>
        <v>56472.200000000004</v>
      </c>
      <c r="H54" s="21" t="s">
        <v>133</v>
      </c>
      <c r="I54" s="15">
        <v>12</v>
      </c>
      <c r="J54" s="17">
        <v>2000</v>
      </c>
      <c r="K54" s="16">
        <f t="shared" si="1"/>
        <v>166.66666666666666</v>
      </c>
      <c r="L54" s="15">
        <v>12</v>
      </c>
      <c r="M54" s="17">
        <f t="shared" ref="M54:M56" si="41">F54/V54*60</f>
        <v>1904.68085106383</v>
      </c>
      <c r="N54" s="16">
        <f t="shared" si="3"/>
        <v>158.72340425531917</v>
      </c>
      <c r="O54" s="18">
        <f t="shared" si="4"/>
        <v>0</v>
      </c>
      <c r="P54" s="19">
        <f t="shared" si="5"/>
        <v>-7.9432624113474901</v>
      </c>
      <c r="Q54" s="20">
        <f t="shared" si="6"/>
        <v>0.952340425531915</v>
      </c>
      <c r="R54" s="170">
        <f>Q57</f>
        <v>0.95972966871719612</v>
      </c>
      <c r="S54" s="27">
        <v>0.20833333333333334</v>
      </c>
      <c r="T54" s="27">
        <v>0.24097222222222223</v>
      </c>
      <c r="U54" s="4"/>
      <c r="V54" s="21">
        <f t="shared" ref="V54:V56" si="42">(T54-S54)*24*60</f>
        <v>46.999999999999993</v>
      </c>
      <c r="W54" s="27"/>
      <c r="X54" s="27"/>
      <c r="Y54" s="27"/>
      <c r="Z54" s="27"/>
      <c r="AA54" s="162"/>
      <c r="AB54" s="162"/>
      <c r="AC54" s="24">
        <v>3</v>
      </c>
      <c r="AD54" s="24"/>
      <c r="AE54" s="18">
        <f t="shared" ref="AE54:AE63" si="43">M54-J54</f>
        <v>-95.319148936169995</v>
      </c>
      <c r="AF54" s="20">
        <f t="shared" si="9"/>
        <v>0.952340425531915</v>
      </c>
      <c r="AG54" s="170">
        <f>AF57</f>
        <v>0.95972966871719612</v>
      </c>
    </row>
    <row r="55" spans="1:33" ht="15.75" customHeight="1">
      <c r="A55" s="172" t="s">
        <v>297</v>
      </c>
      <c r="B55" s="4" t="s">
        <v>108</v>
      </c>
      <c r="C55" s="163" t="s">
        <v>126</v>
      </c>
      <c r="D55" s="163"/>
      <c r="E55" s="35">
        <v>34.36</v>
      </c>
      <c r="F55" s="38">
        <v>1894</v>
      </c>
      <c r="G55" s="4">
        <f t="shared" si="40"/>
        <v>65077.84</v>
      </c>
      <c r="H55" s="21" t="s">
        <v>133</v>
      </c>
      <c r="I55" s="15">
        <v>10</v>
      </c>
      <c r="J55" s="17">
        <v>3000</v>
      </c>
      <c r="K55" s="16">
        <f t="shared" si="1"/>
        <v>300</v>
      </c>
      <c r="L55" s="15">
        <v>10</v>
      </c>
      <c r="M55" s="17">
        <f t="shared" si="41"/>
        <v>2913.8461538461524</v>
      </c>
      <c r="N55" s="16">
        <f t="shared" si="3"/>
        <v>291.38461538461524</v>
      </c>
      <c r="O55" s="18">
        <f t="shared" si="4"/>
        <v>0</v>
      </c>
      <c r="P55" s="19">
        <f t="shared" si="5"/>
        <v>-8.6153846153847553</v>
      </c>
      <c r="Q55" s="20">
        <f t="shared" si="6"/>
        <v>0.97128205128205081</v>
      </c>
      <c r="R55" s="170"/>
      <c r="S55" s="27">
        <v>0.24652777777777779</v>
      </c>
      <c r="T55" s="27">
        <v>0.27361111111111114</v>
      </c>
      <c r="U55" s="4">
        <f t="shared" ref="U55:U56" si="44">(S55-T54)*24*60</f>
        <v>8.0000000000000107</v>
      </c>
      <c r="V55" s="21">
        <f t="shared" si="42"/>
        <v>39.000000000000021</v>
      </c>
      <c r="W55" s="4"/>
      <c r="X55" s="4"/>
      <c r="Y55" s="4"/>
      <c r="Z55" s="4"/>
      <c r="AA55" s="162"/>
      <c r="AB55" s="162"/>
      <c r="AC55" s="24"/>
      <c r="AD55" s="24"/>
      <c r="AE55" s="18">
        <f t="shared" si="43"/>
        <v>-86.153846153847553</v>
      </c>
      <c r="AF55" s="20">
        <f t="shared" si="9"/>
        <v>0.97128205128205081</v>
      </c>
      <c r="AG55" s="170"/>
    </row>
    <row r="56" spans="1:33" ht="15.75" customHeight="1">
      <c r="A56" s="172" t="s">
        <v>297</v>
      </c>
      <c r="B56" s="4" t="s">
        <v>108</v>
      </c>
      <c r="C56" s="163" t="s">
        <v>127</v>
      </c>
      <c r="D56" s="163"/>
      <c r="E56" s="35">
        <v>35.119999999999997</v>
      </c>
      <c r="F56" s="38">
        <v>4146</v>
      </c>
      <c r="G56" s="4">
        <f t="shared" si="40"/>
        <v>145607.51999999999</v>
      </c>
      <c r="H56" s="21" t="s">
        <v>133</v>
      </c>
      <c r="I56" s="15">
        <v>10</v>
      </c>
      <c r="J56" s="17">
        <v>3000</v>
      </c>
      <c r="K56" s="16">
        <f t="shared" si="1"/>
        <v>300</v>
      </c>
      <c r="L56" s="15">
        <v>10</v>
      </c>
      <c r="M56" s="17">
        <f t="shared" si="41"/>
        <v>2859.3103448275856</v>
      </c>
      <c r="N56" s="16">
        <f t="shared" si="3"/>
        <v>285.93103448275855</v>
      </c>
      <c r="O56" s="18">
        <f t="shared" si="4"/>
        <v>0</v>
      </c>
      <c r="P56" s="19">
        <f t="shared" si="5"/>
        <v>-14.068965517241452</v>
      </c>
      <c r="Q56" s="20">
        <f t="shared" si="6"/>
        <v>0.9531034482758618</v>
      </c>
      <c r="R56" s="170"/>
      <c r="S56" s="27">
        <v>0.27708333333333335</v>
      </c>
      <c r="T56" s="27">
        <v>0.33750000000000002</v>
      </c>
      <c r="U56" s="4">
        <f t="shared" si="44"/>
        <v>4.9999999999999822</v>
      </c>
      <c r="V56" s="21">
        <f t="shared" si="42"/>
        <v>87.000000000000014</v>
      </c>
      <c r="W56" s="4"/>
      <c r="X56" s="4"/>
      <c r="Y56" s="4"/>
      <c r="Z56" s="4"/>
      <c r="AA56" s="162"/>
      <c r="AB56" s="162"/>
      <c r="AC56" s="24"/>
      <c r="AD56" s="24"/>
      <c r="AE56" s="18">
        <f t="shared" si="43"/>
        <v>-140.6896551724144</v>
      </c>
      <c r="AF56" s="20">
        <f t="shared" si="9"/>
        <v>0.95310344827586191</v>
      </c>
      <c r="AG56" s="170"/>
    </row>
    <row r="57" spans="1:33">
      <c r="A57" s="173" t="s">
        <v>297</v>
      </c>
      <c r="B57" s="35" t="s">
        <v>48</v>
      </c>
      <c r="C57" s="171"/>
      <c r="D57" s="171"/>
      <c r="E57" s="36"/>
      <c r="F57" s="16"/>
      <c r="G57" s="16"/>
      <c r="H57" s="4"/>
      <c r="I57" s="29">
        <v>10.666666666666666</v>
      </c>
      <c r="J57" s="17">
        <v>2666.6666666666665</v>
      </c>
      <c r="K57" s="16">
        <f t="shared" si="1"/>
        <v>250</v>
      </c>
      <c r="L57" s="29">
        <v>10.666666666666666</v>
      </c>
      <c r="M57" s="17">
        <f>AVERAGE(M54:M56)</f>
        <v>2559.2791165791896</v>
      </c>
      <c r="N57" s="16">
        <f t="shared" si="3"/>
        <v>239.93241717929902</v>
      </c>
      <c r="O57" s="18">
        <f t="shared" si="4"/>
        <v>0</v>
      </c>
      <c r="P57" s="19">
        <f t="shared" si="5"/>
        <v>-10.067582820700977</v>
      </c>
      <c r="Q57" s="20">
        <f t="shared" si="6"/>
        <v>0.95972966871719612</v>
      </c>
      <c r="R57" s="170"/>
      <c r="S57" s="27"/>
      <c r="T57" s="27"/>
      <c r="U57" s="16"/>
      <c r="V57" s="21"/>
      <c r="W57" s="16"/>
      <c r="X57" s="16"/>
      <c r="Y57" s="30">
        <f>SUM(Y54:Y56)</f>
        <v>0</v>
      </c>
      <c r="Z57" s="30">
        <f>SUM(Z54:Z56)</f>
        <v>0</v>
      </c>
      <c r="AA57" s="166"/>
      <c r="AB57" s="166"/>
      <c r="AC57" s="30">
        <f>SUM(AC54:AC56)</f>
        <v>3</v>
      </c>
      <c r="AD57" s="30">
        <f>SUM(AD54:AD56)</f>
        <v>0</v>
      </c>
      <c r="AE57" s="18">
        <f t="shared" si="43"/>
        <v>-107.38755008747694</v>
      </c>
      <c r="AF57" s="20">
        <f t="shared" si="9"/>
        <v>0.95972966871719612</v>
      </c>
      <c r="AG57" s="170"/>
    </row>
    <row r="58" spans="1:33" ht="15.75" customHeight="1">
      <c r="A58" s="167" t="s">
        <v>76</v>
      </c>
      <c r="B58" s="4" t="s">
        <v>97</v>
      </c>
      <c r="C58" s="163" t="s">
        <v>128</v>
      </c>
      <c r="D58" s="163"/>
      <c r="E58" s="35">
        <v>20.2</v>
      </c>
      <c r="F58" s="4">
        <v>2252</v>
      </c>
      <c r="G58" s="4">
        <f t="shared" ref="G58:G62" si="45">E58*F58</f>
        <v>45490.400000000001</v>
      </c>
      <c r="H58" s="21" t="s">
        <v>133</v>
      </c>
      <c r="I58" s="15">
        <v>15</v>
      </c>
      <c r="J58" s="17">
        <v>2400</v>
      </c>
      <c r="K58" s="16">
        <f t="shared" si="1"/>
        <v>160</v>
      </c>
      <c r="L58" s="15">
        <v>15</v>
      </c>
      <c r="M58" s="17">
        <f t="shared" ref="M58:M62" si="46">F58/V58*60</f>
        <v>2290.1694915254234</v>
      </c>
      <c r="N58" s="16">
        <f t="shared" si="3"/>
        <v>152.67796610169489</v>
      </c>
      <c r="O58" s="18">
        <f t="shared" si="4"/>
        <v>0</v>
      </c>
      <c r="P58" s="19">
        <f t="shared" si="5"/>
        <v>-7.3220338983051079</v>
      </c>
      <c r="Q58" s="20">
        <f t="shared" si="6"/>
        <v>0.95423728813559305</v>
      </c>
      <c r="R58" s="170">
        <f>Q63</f>
        <v>0.95593767612087643</v>
      </c>
      <c r="S58" s="27">
        <v>8.3333333333333329E-2</v>
      </c>
      <c r="T58" s="27">
        <v>0.12430555555555556</v>
      </c>
      <c r="U58" s="27"/>
      <c r="V58" s="21">
        <f t="shared" ref="V58:V62" si="47">(T58-S58)*24*60</f>
        <v>59.000000000000007</v>
      </c>
      <c r="W58" s="22">
        <f>T58</f>
        <v>0.12430555555555556</v>
      </c>
      <c r="X58" s="22">
        <f>S59</f>
        <v>0.14375000000000002</v>
      </c>
      <c r="Y58" s="22"/>
      <c r="Z58" s="22"/>
      <c r="AA58" s="162"/>
      <c r="AB58" s="162"/>
      <c r="AC58" s="24">
        <v>5</v>
      </c>
      <c r="AD58" s="24"/>
      <c r="AE58" s="18">
        <f t="shared" si="43"/>
        <v>-109.83050847457662</v>
      </c>
      <c r="AF58" s="20">
        <f t="shared" si="9"/>
        <v>0.95423728813559305</v>
      </c>
      <c r="AG58" s="170">
        <f>AF63</f>
        <v>0.95593767612087632</v>
      </c>
    </row>
    <row r="59" spans="1:33" ht="15.75" customHeight="1">
      <c r="A59" s="168" t="s">
        <v>76</v>
      </c>
      <c r="B59" s="4" t="s">
        <v>97</v>
      </c>
      <c r="C59" s="163" t="s">
        <v>129</v>
      </c>
      <c r="D59" s="163"/>
      <c r="E59" s="35">
        <v>24.45</v>
      </c>
      <c r="F59" s="4">
        <v>2610</v>
      </c>
      <c r="G59" s="4">
        <f t="shared" si="45"/>
        <v>63814.5</v>
      </c>
      <c r="H59" s="21" t="s">
        <v>133</v>
      </c>
      <c r="I59" s="15">
        <v>19</v>
      </c>
      <c r="J59" s="17">
        <v>2400</v>
      </c>
      <c r="K59" s="16">
        <f t="shared" si="1"/>
        <v>126.31578947368421</v>
      </c>
      <c r="L59" s="15">
        <v>19</v>
      </c>
      <c r="M59" s="17">
        <f t="shared" si="46"/>
        <v>2302.9411764705883</v>
      </c>
      <c r="N59" s="16">
        <f t="shared" si="3"/>
        <v>121.20743034055728</v>
      </c>
      <c r="O59" s="18">
        <f t="shared" si="4"/>
        <v>0</v>
      </c>
      <c r="P59" s="19">
        <f t="shared" si="5"/>
        <v>-5.1083591331269247</v>
      </c>
      <c r="Q59" s="20">
        <f t="shared" si="6"/>
        <v>0.9595588235294118</v>
      </c>
      <c r="R59" s="170"/>
      <c r="S59" s="27">
        <v>0.14375000000000002</v>
      </c>
      <c r="T59" s="27">
        <v>0.19097222222222224</v>
      </c>
      <c r="U59" s="4">
        <f t="shared" ref="U59:U62" si="48">(S59-T58)*24*60</f>
        <v>28.000000000000021</v>
      </c>
      <c r="V59" s="21">
        <f t="shared" si="47"/>
        <v>68</v>
      </c>
      <c r="W59" s="22"/>
      <c r="X59" s="22"/>
      <c r="Y59" s="22"/>
      <c r="Z59" s="22"/>
      <c r="AA59" s="162"/>
      <c r="AB59" s="162"/>
      <c r="AC59" s="24"/>
      <c r="AD59" s="24"/>
      <c r="AE59" s="18">
        <f t="shared" si="43"/>
        <v>-97.058823529411711</v>
      </c>
      <c r="AF59" s="20">
        <f t="shared" si="9"/>
        <v>0.9595588235294118</v>
      </c>
      <c r="AG59" s="170"/>
    </row>
    <row r="60" spans="1:33" ht="15.75" customHeight="1">
      <c r="A60" s="168" t="s">
        <v>76</v>
      </c>
      <c r="B60" s="4" t="s">
        <v>97</v>
      </c>
      <c r="C60" s="163" t="s">
        <v>106</v>
      </c>
      <c r="D60" s="163"/>
      <c r="E60" s="35">
        <v>20.21</v>
      </c>
      <c r="F60" s="4">
        <v>2792</v>
      </c>
      <c r="G60" s="4">
        <f t="shared" si="45"/>
        <v>56426.32</v>
      </c>
      <c r="H60" s="21" t="s">
        <v>133</v>
      </c>
      <c r="I60" s="15">
        <v>15</v>
      </c>
      <c r="J60" s="17">
        <v>2400</v>
      </c>
      <c r="K60" s="16">
        <f t="shared" si="1"/>
        <v>160</v>
      </c>
      <c r="L60" s="15">
        <v>15</v>
      </c>
      <c r="M60" s="17">
        <f t="shared" si="46"/>
        <v>2294.7945205479455</v>
      </c>
      <c r="N60" s="16">
        <f t="shared" si="3"/>
        <v>152.98630136986304</v>
      </c>
      <c r="O60" s="18">
        <f t="shared" si="4"/>
        <v>0</v>
      </c>
      <c r="P60" s="19">
        <f t="shared" si="5"/>
        <v>-7.0136986301369575</v>
      </c>
      <c r="Q60" s="20">
        <f t="shared" si="6"/>
        <v>0.95616438356164402</v>
      </c>
      <c r="R60" s="170"/>
      <c r="S60" s="27">
        <v>0.19513888888888892</v>
      </c>
      <c r="T60" s="27">
        <v>0.24583333333333335</v>
      </c>
      <c r="U60" s="4">
        <f t="shared" si="48"/>
        <v>6.0000000000000187</v>
      </c>
      <c r="V60" s="21">
        <f t="shared" si="47"/>
        <v>72.999999999999986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3"/>
        <v>-105.20547945205453</v>
      </c>
      <c r="AF60" s="20">
        <f t="shared" si="9"/>
        <v>0.9561643835616439</v>
      </c>
      <c r="AG60" s="170"/>
    </row>
    <row r="61" spans="1:33" ht="15.75" customHeight="1">
      <c r="A61" s="168" t="s">
        <v>1671</v>
      </c>
      <c r="B61" s="4" t="s">
        <v>97</v>
      </c>
      <c r="C61" s="163" t="s">
        <v>130</v>
      </c>
      <c r="D61" s="163"/>
      <c r="E61" s="35">
        <v>24.43</v>
      </c>
      <c r="F61" s="4">
        <v>6196</v>
      </c>
      <c r="G61" s="4">
        <f t="shared" si="45"/>
        <v>151368.28</v>
      </c>
      <c r="H61" s="21" t="s">
        <v>133</v>
      </c>
      <c r="I61" s="15">
        <v>14</v>
      </c>
      <c r="J61" s="17">
        <v>2400</v>
      </c>
      <c r="K61" s="16">
        <f t="shared" si="1"/>
        <v>171.42857142857142</v>
      </c>
      <c r="L61" s="15">
        <v>14</v>
      </c>
      <c r="M61" s="17">
        <f t="shared" si="46"/>
        <v>2294.8148148148152</v>
      </c>
      <c r="N61" s="16">
        <f t="shared" si="3"/>
        <v>163.91534391534395</v>
      </c>
      <c r="O61" s="18">
        <f t="shared" si="4"/>
        <v>0</v>
      </c>
      <c r="P61" s="19">
        <f t="shared" si="5"/>
        <v>-7.5132275132274629</v>
      </c>
      <c r="Q61" s="20">
        <f t="shared" si="6"/>
        <v>0.95617283950617316</v>
      </c>
      <c r="R61" s="170"/>
      <c r="S61" s="27">
        <v>0.25</v>
      </c>
      <c r="T61" s="27">
        <v>0.36249999999999999</v>
      </c>
      <c r="U61" s="4">
        <f t="shared" si="48"/>
        <v>5.9999999999999787</v>
      </c>
      <c r="V61" s="21">
        <f t="shared" si="47"/>
        <v>161.99999999999997</v>
      </c>
      <c r="W61" s="22"/>
      <c r="X61" s="22"/>
      <c r="Y61" s="22"/>
      <c r="Z61" s="22"/>
      <c r="AA61" s="162"/>
      <c r="AB61" s="162"/>
      <c r="AC61" s="24"/>
      <c r="AD61" s="24"/>
      <c r="AE61" s="18">
        <f t="shared" si="43"/>
        <v>-105.18518518518476</v>
      </c>
      <c r="AF61" s="20">
        <f t="shared" si="9"/>
        <v>0.95617283950617304</v>
      </c>
      <c r="AG61" s="170"/>
    </row>
    <row r="62" spans="1:33" ht="15.75" customHeight="1">
      <c r="A62" s="168" t="s">
        <v>76</v>
      </c>
      <c r="B62" s="4" t="s">
        <v>97</v>
      </c>
      <c r="C62" s="163" t="s">
        <v>132</v>
      </c>
      <c r="D62" s="163"/>
      <c r="E62" s="35">
        <v>19.02</v>
      </c>
      <c r="F62" s="4">
        <v>8315</v>
      </c>
      <c r="G62" s="4">
        <f t="shared" si="45"/>
        <v>158151.29999999999</v>
      </c>
      <c r="H62" s="21" t="s">
        <v>133</v>
      </c>
      <c r="I62" s="15">
        <v>14</v>
      </c>
      <c r="J62" s="17">
        <v>2400</v>
      </c>
      <c r="K62" s="16">
        <f t="shared" si="1"/>
        <v>171.42857142857142</v>
      </c>
      <c r="L62" s="15">
        <v>14</v>
      </c>
      <c r="M62" s="17">
        <f t="shared" si="46"/>
        <v>2288.532110091744</v>
      </c>
      <c r="N62" s="16">
        <f t="shared" si="3"/>
        <v>163.46657929226743</v>
      </c>
      <c r="O62" s="18">
        <f t="shared" si="4"/>
        <v>0</v>
      </c>
      <c r="P62" s="19">
        <f t="shared" si="5"/>
        <v>-7.9619921363039907</v>
      </c>
      <c r="Q62" s="20">
        <f t="shared" si="6"/>
        <v>0.95355504587156004</v>
      </c>
      <c r="R62" s="170"/>
      <c r="S62" s="27">
        <v>0.36666666666666664</v>
      </c>
      <c r="T62" s="27">
        <v>0.51805555555555549</v>
      </c>
      <c r="U62" s="4">
        <f t="shared" si="48"/>
        <v>5.9999999999999787</v>
      </c>
      <c r="V62" s="21">
        <f t="shared" si="47"/>
        <v>217.99999999999994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3"/>
        <v>-111.46788990825598</v>
      </c>
      <c r="AF62" s="20">
        <f t="shared" si="9"/>
        <v>0.95355504587156004</v>
      </c>
      <c r="AG62" s="170"/>
    </row>
    <row r="63" spans="1:33" ht="16.5" customHeight="1">
      <c r="A63" s="169" t="s">
        <v>1671</v>
      </c>
      <c r="B63" s="35" t="s">
        <v>1664</v>
      </c>
      <c r="C63" s="164"/>
      <c r="D63" s="165"/>
      <c r="E63" s="36"/>
      <c r="F63" s="16"/>
      <c r="G63" s="16"/>
      <c r="H63" s="4"/>
      <c r="I63" s="29">
        <v>15.4</v>
      </c>
      <c r="J63" s="17">
        <v>2400</v>
      </c>
      <c r="K63" s="16">
        <f t="shared" si="1"/>
        <v>155.84415584415584</v>
      </c>
      <c r="L63" s="29">
        <v>15.4</v>
      </c>
      <c r="M63" s="17">
        <f>AVERAGE(M58:M62)</f>
        <v>2294.2504226901033</v>
      </c>
      <c r="N63" s="16">
        <f t="shared" si="3"/>
        <v>148.97730017468203</v>
      </c>
      <c r="O63" s="18">
        <f t="shared" si="4"/>
        <v>0</v>
      </c>
      <c r="P63" s="19">
        <f t="shared" si="5"/>
        <v>-6.8668556694738072</v>
      </c>
      <c r="Q63" s="20">
        <f t="shared" si="6"/>
        <v>0.95593767612087643</v>
      </c>
      <c r="R63" s="170"/>
      <c r="S63" s="27"/>
      <c r="T63" s="27"/>
      <c r="U63" s="16"/>
      <c r="V63" s="21"/>
      <c r="W63" s="16"/>
      <c r="X63" s="16"/>
      <c r="Y63" s="30">
        <f>SUM(Y58:Y62)</f>
        <v>0</v>
      </c>
      <c r="Z63" s="30">
        <f>SUM(Z58:Z62)</f>
        <v>0</v>
      </c>
      <c r="AA63" s="166"/>
      <c r="AB63" s="166"/>
      <c r="AC63" s="30">
        <f>SUM(AC58:AC62)</f>
        <v>5</v>
      </c>
      <c r="AD63" s="30">
        <f>SUM(AD58:AD62)</f>
        <v>0</v>
      </c>
      <c r="AE63" s="18">
        <f t="shared" si="43"/>
        <v>-105.74957730989672</v>
      </c>
      <c r="AF63" s="20">
        <f t="shared" si="9"/>
        <v>0.95593767612087632</v>
      </c>
      <c r="AG63" s="170"/>
    </row>
    <row r="64" spans="1:33">
      <c r="D64" s="41"/>
      <c r="E64" s="41"/>
    </row>
  </sheetData>
  <mergeCells count="17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A18:A23"/>
    <mergeCell ref="C18:D18"/>
    <mergeCell ref="R18:R23"/>
    <mergeCell ref="AA18:AB18"/>
    <mergeCell ref="AA23:AB23"/>
    <mergeCell ref="A13:A17"/>
    <mergeCell ref="C13:D13"/>
    <mergeCell ref="R13:R17"/>
    <mergeCell ref="AA13:AB13"/>
    <mergeCell ref="AG24:AG29"/>
    <mergeCell ref="C25:D25"/>
    <mergeCell ref="AA25:AB25"/>
    <mergeCell ref="C26:D26"/>
    <mergeCell ref="AA26:AB26"/>
    <mergeCell ref="C27:D27"/>
    <mergeCell ref="AG18:AG23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7:AB27"/>
    <mergeCell ref="C28:D28"/>
    <mergeCell ref="AA28:AB28"/>
    <mergeCell ref="C29:D29"/>
    <mergeCell ref="AA29:AB29"/>
    <mergeCell ref="A30:A36"/>
    <mergeCell ref="C30:D30"/>
    <mergeCell ref="R30:R36"/>
    <mergeCell ref="AA30:AB30"/>
    <mergeCell ref="AA35:AB35"/>
    <mergeCell ref="A24:A29"/>
    <mergeCell ref="C24:D24"/>
    <mergeCell ref="R24:R29"/>
    <mergeCell ref="AA24:AB24"/>
    <mergeCell ref="AG30:AG36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C36:D36"/>
    <mergeCell ref="AA36:AB36"/>
    <mergeCell ref="A37:A45"/>
    <mergeCell ref="C37:D37"/>
    <mergeCell ref="R37:R45"/>
    <mergeCell ref="AA37:AB37"/>
    <mergeCell ref="AA42:AB42"/>
    <mergeCell ref="C43:D43"/>
    <mergeCell ref="AA43:AB43"/>
    <mergeCell ref="C44:D44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4:AB44"/>
    <mergeCell ref="C45:D45"/>
    <mergeCell ref="AA45:AB45"/>
    <mergeCell ref="AG46:AG53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A46:A53"/>
    <mergeCell ref="C46:D46"/>
    <mergeCell ref="R46:R53"/>
    <mergeCell ref="AA46:AB46"/>
    <mergeCell ref="AA52:AB52"/>
    <mergeCell ref="C53:D53"/>
    <mergeCell ref="AA53:AB53"/>
    <mergeCell ref="R58:R63"/>
    <mergeCell ref="AA58:AB58"/>
    <mergeCell ref="AG58:AG63"/>
    <mergeCell ref="C59:D59"/>
    <mergeCell ref="AA59:AB59"/>
    <mergeCell ref="C60:D60"/>
    <mergeCell ref="AA60:AB60"/>
    <mergeCell ref="A54:A57"/>
    <mergeCell ref="C54:D54"/>
    <mergeCell ref="R54:R57"/>
    <mergeCell ref="AA54:AB54"/>
    <mergeCell ref="AG54:AG57"/>
    <mergeCell ref="C55:D55"/>
    <mergeCell ref="AA55:AB55"/>
    <mergeCell ref="C56:D56"/>
    <mergeCell ref="AA56:AB56"/>
    <mergeCell ref="C57:D57"/>
    <mergeCell ref="C61:D61"/>
    <mergeCell ref="AA61:AB61"/>
    <mergeCell ref="C62:D62"/>
    <mergeCell ref="AA62:AB62"/>
    <mergeCell ref="C63:D63"/>
    <mergeCell ref="AA63:AB63"/>
    <mergeCell ref="AA57:AB57"/>
    <mergeCell ref="A58:A63"/>
    <mergeCell ref="C58:D58"/>
  </mergeCells>
  <phoneticPr fontId="3" type="noConversion"/>
  <conditionalFormatting sqref="O5:O63">
    <cfRule type="cellIs" dxfId="170" priority="9" operator="greaterThan">
      <formula>0</formula>
    </cfRule>
  </conditionalFormatting>
  <conditionalFormatting sqref="P5:P63">
    <cfRule type="cellIs" dxfId="169" priority="1" operator="lessThan">
      <formula>0</formula>
    </cfRule>
  </conditionalFormatting>
  <conditionalFormatting sqref="Q5:Q63 AF5:AF63">
    <cfRule type="cellIs" dxfId="168" priority="10" operator="greaterThan">
      <formula>1</formula>
    </cfRule>
    <cfRule type="cellIs" dxfId="167" priority="11" operator="lessThan">
      <formula>0.8</formula>
    </cfRule>
  </conditionalFormatting>
  <conditionalFormatting sqref="R5:R10 AG5:AG10">
    <cfRule type="cellIs" dxfId="166" priority="54" operator="lessThan">
      <formula>0.8</formula>
    </cfRule>
  </conditionalFormatting>
  <conditionalFormatting sqref="AE5:AE63">
    <cfRule type="cellIs" dxfId="165" priority="12" operator="lessThan">
      <formula>0</formula>
    </cfRule>
  </conditionalFormatting>
  <conditionalFormatting sqref="AG13:AG56 R13:R63">
    <cfRule type="cellIs" dxfId="164" priority="13" operator="lessThan">
      <formula>0.8</formula>
    </cfRule>
  </conditionalFormatting>
  <dataValidations count="1">
    <dataValidation type="list" allowBlank="1" showInputMessage="1" showErrorMessage="1" sqref="AB9 AA5:AB8 AA9:AA56 AB11:AB54 AA57:AB63" xr:uid="{00000000-0002-0000-1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Q32"/>
  <sheetViews>
    <sheetView zoomScale="85" zoomScaleNormal="85" workbookViewId="0">
      <selection activeCell="I4" sqref="I4:J4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1522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1523</v>
      </c>
      <c r="C3" s="151" t="str">
        <f>TEXT('0318 4度C'!A2,"yyyy.mm.ddaaaa")</f>
        <v>2026.03.18星期三</v>
      </c>
      <c r="D3" s="152"/>
      <c r="E3" s="45" t="s">
        <v>1524</v>
      </c>
      <c r="F3" s="153">
        <f>'0318 4度C'!D1</f>
        <v>155187</v>
      </c>
      <c r="G3" s="154"/>
      <c r="H3" s="45" t="s">
        <v>1525</v>
      </c>
      <c r="I3" s="155">
        <f>'0318 4度C'!F1</f>
        <v>5084855.8000000007</v>
      </c>
      <c r="J3" s="156"/>
      <c r="K3" s="46"/>
      <c r="L3" s="47"/>
      <c r="M3" s="47"/>
      <c r="N3" s="47"/>
    </row>
    <row r="4" spans="2:17" ht="28.5" customHeight="1">
      <c r="B4" s="157" t="s">
        <v>1526</v>
      </c>
      <c r="C4" s="143" t="s">
        <v>1527</v>
      </c>
      <c r="D4" s="144"/>
      <c r="E4" s="160" t="s">
        <v>1528</v>
      </c>
      <c r="F4" s="161"/>
      <c r="G4" s="160" t="s">
        <v>1529</v>
      </c>
      <c r="H4" s="161"/>
      <c r="I4" s="160" t="s">
        <v>1530</v>
      </c>
      <c r="J4" s="161"/>
      <c r="K4" s="141" t="s">
        <v>1531</v>
      </c>
      <c r="L4" s="142"/>
      <c r="M4" s="142" t="s">
        <v>1532</v>
      </c>
      <c r="N4" s="142"/>
    </row>
    <row r="5" spans="2:17" ht="28.5" customHeight="1">
      <c r="B5" s="158"/>
      <c r="C5" s="143" t="s">
        <v>1533</v>
      </c>
      <c r="D5" s="144"/>
      <c r="E5" s="143" t="s">
        <v>146</v>
      </c>
      <c r="F5" s="144"/>
      <c r="G5" s="145" t="s">
        <v>1534</v>
      </c>
      <c r="H5" s="146"/>
      <c r="I5" s="147" t="s">
        <v>1535</v>
      </c>
      <c r="J5" s="148"/>
      <c r="K5" s="48" t="s">
        <v>1536</v>
      </c>
      <c r="L5" s="49" t="s">
        <v>1537</v>
      </c>
      <c r="M5" s="48" t="s">
        <v>1536</v>
      </c>
      <c r="N5" s="49" t="s">
        <v>1538</v>
      </c>
    </row>
    <row r="6" spans="2:17" ht="28.5" customHeight="1">
      <c r="B6" s="158"/>
      <c r="C6" s="143" t="s">
        <v>153</v>
      </c>
      <c r="D6" s="144"/>
      <c r="E6" s="135">
        <f>AVERAGE(D13:M13)</f>
        <v>152.17624046235861</v>
      </c>
      <c r="F6" s="136">
        <f>AVERAGE(D31:O31,D13:J13)</f>
        <v>156.88736506753381</v>
      </c>
      <c r="G6" s="137">
        <f>AVERAGE(D13:J13)</f>
        <v>156.88736506753381</v>
      </c>
      <c r="H6" s="138"/>
      <c r="I6" s="137">
        <f>AVERAGE(K13:M13)</f>
        <v>141.1836163836164</v>
      </c>
      <c r="J6" s="138"/>
      <c r="K6" s="139">
        <f>'0318 4度C'!Y2</f>
        <v>0</v>
      </c>
      <c r="L6" s="124">
        <f>'0318 4度C'!Z2</f>
        <v>0</v>
      </c>
      <c r="M6" s="140">
        <f>'0318 4度C'!AC2</f>
        <v>53</v>
      </c>
      <c r="N6" s="124">
        <f>'0318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145.66472037504684</v>
      </c>
      <c r="F7" s="128">
        <f>AVERAGE(D32:O32,D14:J14)</f>
        <v>150.20174607539411</v>
      </c>
      <c r="G7" s="129">
        <f>AVERAGE(D14:J14)</f>
        <v>150.20174607539411</v>
      </c>
      <c r="H7" s="130"/>
      <c r="I7" s="129">
        <f>AVERAGE(K14:M14)</f>
        <v>135.07832707423651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0.95720976362442534</v>
      </c>
      <c r="F8" s="132">
        <f>AVERAGE(D15:J15,D33:O33)</f>
        <v>0.95742892410880054</v>
      </c>
      <c r="G8" s="133">
        <f>AVERAGE(D15:J15)</f>
        <v>0.95742892410880054</v>
      </c>
      <c r="H8" s="134"/>
      <c r="I8" s="133">
        <f>AVERAGE(K15:M15)</f>
        <v>0.9566983891608829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1539</v>
      </c>
      <c r="N9" s="47"/>
      <c r="O9" s="47"/>
      <c r="P9" s="47"/>
      <c r="Q9" s="47"/>
    </row>
    <row r="10" spans="2:17" ht="30" customHeight="1">
      <c r="B10" s="107" t="s">
        <v>1540</v>
      </c>
      <c r="C10" s="108"/>
      <c r="D10" s="109" t="s">
        <v>1541</v>
      </c>
      <c r="E10" s="110"/>
      <c r="F10" s="110"/>
      <c r="G10" s="110"/>
      <c r="H10" s="110"/>
      <c r="I10" s="110"/>
      <c r="J10" s="111"/>
      <c r="K10" s="112" t="s">
        <v>1542</v>
      </c>
      <c r="L10" s="113"/>
      <c r="M10" s="114"/>
      <c r="P10" s="53"/>
      <c r="Q10" s="53"/>
    </row>
    <row r="11" spans="2:17" ht="17.25" customHeight="1">
      <c r="B11" s="115" t="s">
        <v>1543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1544</v>
      </c>
      <c r="D13" s="61">
        <f>SUMIFS('0318 4度C'!$K:$K,'0318 4度C'!$A:$A,"新豐6線",'0318 4度C'!$B:$B,"平均")</f>
        <v>111.11111111111111</v>
      </c>
      <c r="E13" s="62">
        <f>SUMIFS('0318 4度C'!$K:$K,'0318 4度C'!$A:$A,"新豐2線",'0318 4度C'!$B:$B,"平均")</f>
        <v>83.333333333333329</v>
      </c>
      <c r="F13" s="63">
        <f>SUMIFS('0318 4度C'!$K:$K,'0318 4度C'!$A:$A,"新豐5線",'0318 4度C'!$B:$B,"平均")</f>
        <v>102.73972602739725</v>
      </c>
      <c r="G13" s="63">
        <f>SUMIFS('0318 4度C'!$K:$K,'0318 4度C'!$A:$A,"新豐7線",'0318 4度C'!$B:$B,"平均")</f>
        <v>128.37837837837839</v>
      </c>
      <c r="H13" s="63">
        <f>SUMIFS('0318 4度C'!$K:$K,'0318 4度C'!$A:$A,"新豐3線",'0318 4度C'!$B:$B,"平均")</f>
        <v>320</v>
      </c>
      <c r="I13" s="63">
        <f>SUMIFS('0318 4度C'!$K:$K,'0318 4度C'!$A:$A,"新豐1線",'0318 4度C'!$B:$B,"平均")</f>
        <v>102.64900662251655</v>
      </c>
      <c r="J13" s="64">
        <f>SUMIFS('0318 4度C'!$K:$K,'0318 4度C'!$A:$A,"新豐10線",'0318 4度C'!$B:$B,"平均")</f>
        <v>250</v>
      </c>
      <c r="K13" s="65">
        <f>SUMIFS('0318 4度C'!$K:$K,'0318 4度C'!$A:$A,"新豐8線",'0318 4度C'!$B:$B,"平均")</f>
        <v>130.90909090909091</v>
      </c>
      <c r="L13" s="66">
        <f>SUMIFS('0318 4度C'!$K:$K,'0318 4度C'!$A:$A,"新豐9線",'0318 4度C'!$B:$B,"平均")</f>
        <v>134.4</v>
      </c>
      <c r="M13" s="64">
        <f>SUMIFS('0318 4度C'!$K:$K,'0318 4度C'!$A:$A,"新豐4線",'0318 4度C'!$B:$B,"平均")</f>
        <v>158.24175824175825</v>
      </c>
    </row>
    <row r="14" spans="2:17" ht="39.6" customHeight="1">
      <c r="B14" s="120"/>
      <c r="C14" s="67" t="s">
        <v>1545</v>
      </c>
      <c r="D14" s="68">
        <f>SUMIFS('0318 4度C'!$N:$N,'0318 4度C'!$A:$A,"新豐6線",'0318 4度C'!$B:$B,"平均")</f>
        <v>106.51929361488193</v>
      </c>
      <c r="E14" s="69">
        <f>SUMIFS('0318 4度C'!$N:$N,'0318 4度C'!$A:$A,"新豐2線",'0318 4度C'!$B:$B,"平均")</f>
        <v>79.613531331449735</v>
      </c>
      <c r="F14" s="69">
        <f>SUMIFS('0318 4度C'!$N:$N,'0318 4度C'!$A:$A,"新豐5線",'0318 4度C'!$B:$B,"平均")</f>
        <v>98.510529544060617</v>
      </c>
      <c r="G14" s="69">
        <f>SUMIFS('0318 4度C'!$N:$N,'0318 4度C'!$A:$A,"新豐7線",'0318 4度C'!$B:$B,"平均")</f>
        <v>123.58485104137279</v>
      </c>
      <c r="H14" s="69">
        <f>SUMIFS('0318 4度C'!$N:$N,'0318 4度C'!$A:$A,"新豐3線",'0318 4度C'!$B:$B,"平均")</f>
        <v>306.03041031742777</v>
      </c>
      <c r="I14" s="69">
        <f>SUMIFS('0318 4度C'!$N:$N,'0318 4度C'!$A:$A,"新豐1線",'0318 4度C'!$B:$B,"平均")</f>
        <v>97.791106678565995</v>
      </c>
      <c r="J14" s="70">
        <f>SUMIFS('0318 4度C'!$N:$N,'0318 4度C'!$A:$A,"新豐10線",'0318 4度C'!$B:$B,"平均")</f>
        <v>239.36250000000004</v>
      </c>
      <c r="K14" s="71">
        <f>SUMIFS('0318 4度C'!$N:$N,'0318 4度C'!$A:$A,"新豐8線",'0318 4度C'!$B:$B,"平均")</f>
        <v>125.16000788440478</v>
      </c>
      <c r="L14" s="72">
        <f>SUMIFS('0318 4度C'!$N:$N,'0318 4度C'!$A:$A,"新豐9線",'0318 4度C'!$B:$B,"平均")</f>
        <v>128.53653800671839</v>
      </c>
      <c r="M14" s="70">
        <f>SUMIFS('0318 4度C'!$N:$N,'0318 4度C'!$A:$A,"新豐4線",'0318 4度C'!$B:$B,"平均")</f>
        <v>151.53843533158638</v>
      </c>
    </row>
    <row r="15" spans="2:17" ht="40.15" customHeight="1">
      <c r="B15" s="121"/>
      <c r="C15" s="73" t="s">
        <v>1546</v>
      </c>
      <c r="D15" s="74">
        <f t="shared" ref="D15:M15" si="0">D14/D13</f>
        <v>0.95867364253393739</v>
      </c>
      <c r="E15" s="75">
        <f t="shared" si="0"/>
        <v>0.95536237597739693</v>
      </c>
      <c r="F15" s="75">
        <f t="shared" si="0"/>
        <v>0.95883582089552344</v>
      </c>
      <c r="G15" s="75">
        <f t="shared" si="0"/>
        <v>0.96266094495385113</v>
      </c>
      <c r="H15" s="75">
        <f t="shared" si="0"/>
        <v>0.95634503224196177</v>
      </c>
      <c r="I15" s="75">
        <f t="shared" si="0"/>
        <v>0.95267465215893332</v>
      </c>
      <c r="J15" s="76">
        <f t="shared" si="0"/>
        <v>0.95745000000000013</v>
      </c>
      <c r="K15" s="74">
        <f t="shared" si="0"/>
        <v>0.95608339356142535</v>
      </c>
      <c r="L15" s="75">
        <f t="shared" si="0"/>
        <v>0.95637305064522604</v>
      </c>
      <c r="M15" s="76">
        <f t="shared" si="0"/>
        <v>0.95763872327599731</v>
      </c>
    </row>
    <row r="16" spans="2:17" ht="17.25" customHeight="1">
      <c r="B16" s="122" t="s">
        <v>1547</v>
      </c>
      <c r="C16" s="77" t="s">
        <v>1548</v>
      </c>
      <c r="D16" s="78">
        <f>VLOOKUP("新豐6線",'0318 4度C'!$A:$T,19,0)</f>
        <v>0.70833333333333337</v>
      </c>
      <c r="E16" s="79">
        <f>VLOOKUP("新豐2線",'0318 4度C'!$A:$T,19,0)</f>
        <v>0.20833333333333334</v>
      </c>
      <c r="F16" s="79">
        <f>VLOOKUP("新豐5線",'0318 4度C'!$A:$T,19,0)</f>
        <v>0.20833333333333334</v>
      </c>
      <c r="G16" s="79">
        <f>VLOOKUP("新豐7線",'0318 4度C'!$A:$T,19,0)</f>
        <v>0.20833333333333334</v>
      </c>
      <c r="H16" s="79">
        <f>VLOOKUP("新豐3線",'0318 4度C'!$A:$T,19,0)</f>
        <v>8.3333333333333329E-2</v>
      </c>
      <c r="I16" s="79">
        <f>VLOOKUP("新豐1線",'0318 4度C'!$A:$T,19,0)</f>
        <v>0.20833333333333334</v>
      </c>
      <c r="J16" s="80">
        <f>VLOOKUP("新豐10線",'0318 4度C'!$A:$T,19,0)</f>
        <v>0.20833333333333334</v>
      </c>
      <c r="K16" s="81">
        <f>VLOOKUP("新豐8線",'0318 4度C'!$A:$T,19,0)</f>
        <v>8.3333333333333329E-2</v>
      </c>
      <c r="L16" s="82">
        <f>VLOOKUP("新豐9線",'0318 4度C'!$A:$T,19,0)</f>
        <v>8.3333333333333329E-2</v>
      </c>
      <c r="M16" s="83">
        <f>VLOOKUP("新豐4線",'0318 4度C'!$A:$T,19,0)</f>
        <v>8.3333333333333329E-2</v>
      </c>
    </row>
    <row r="17" spans="2:13" ht="17.25" customHeight="1">
      <c r="B17" s="123"/>
      <c r="C17" s="77" t="s">
        <v>1549</v>
      </c>
      <c r="D17" s="81">
        <f>LOOKUP(2,1/(('0318 4度C'!$A:$A="新豐6線")*('0318 4度C'!$T:$T&lt;&gt;"")),'0318 4度C'!$T:$T)</f>
        <v>0.82291666666666663</v>
      </c>
      <c r="E17" s="79">
        <f>LOOKUP(2,1/(('0318 4度C'!$A:$A="新豐2線")*('0318 4度C'!$T:$T&lt;&gt;"")),'0318 4度C'!$T:$T)</f>
        <v>0.51666666666666661</v>
      </c>
      <c r="F17" s="79">
        <f>LOOKUP(2,1/(('0318 4度C'!$A:$A="新豐5線")*('0318 4度C'!$T:$T&lt;&gt;"")),'0318 4度C'!$T:$T)</f>
        <v>0.82777777777777772</v>
      </c>
      <c r="G17" s="79">
        <f>LOOKUP(2,1/(('0318 4度C'!$A:$A="新豐7線")*('0318 4度C'!$T:$T&lt;&gt;"")),'0318 4度C'!$T:$T)</f>
        <v>0.84097222222222223</v>
      </c>
      <c r="H17" s="79">
        <f>LOOKUP(2,1/(('0318 4度C'!$A:$A="新豐3線")*('0318 4度C'!$T:$T&lt;&gt;"")),'0318 4度C'!$T:$T)</f>
        <v>0.6</v>
      </c>
      <c r="I17" s="79">
        <f>LOOKUP(2,1/(('0318 4度C'!$A:$A="新豐1線")*('0318 4度C'!$T:$T&lt;&gt;"")),'0318 4度C'!$T:$T)</f>
        <v>0.84791666666666665</v>
      </c>
      <c r="J17" s="80">
        <f>LOOKUP(2,1/(('0318 4度C'!$A:$A="新豐10線")*('0318 4度C'!$T:$T&lt;&gt;"")),'0318 4度C'!$T:$T)</f>
        <v>0.36527777777777781</v>
      </c>
      <c r="K17" s="78">
        <f>LOOKUP(2,1/(('0318 4度C'!$A:$A="新豐8線")*('0318 4度C'!$T:$T&lt;&gt;"")),'0318 4度C'!$T:$T)</f>
        <v>0.58611111111111103</v>
      </c>
      <c r="L17" s="79">
        <f>LOOKUP(2,1/(('0318 4度C'!$A:$A="新豐9線")*('0318 4度C'!$T:$T&lt;&gt;"")),'0318 4度C'!$T:$T)</f>
        <v>0.62986111111111098</v>
      </c>
      <c r="M17" s="80">
        <f>LOOKUP(2,1/(('0318 4度C'!$A:$A="新豐4線")*('0318 4度C'!$T:$T&lt;&gt;"")),'0318 4度C'!$T:$T)</f>
        <v>0.58472222222222214</v>
      </c>
    </row>
    <row r="18" spans="2:13" ht="17.25" customHeight="1">
      <c r="B18" s="101" t="s">
        <v>1550</v>
      </c>
      <c r="C18" s="84" t="s">
        <v>179</v>
      </c>
      <c r="D18" s="85">
        <f>SUMIFS('0318 4度C'!$Y:$Y,'0318 4度C'!$A:$A,"新豐6線",'0318 4度C'!$B:$B,"平均")</f>
        <v>0</v>
      </c>
      <c r="E18" s="86">
        <f>SUMIFS('0318 4度C'!$Y:$Y,'0318 4度C'!$A:$A,"新豐2線",'0318 4度C'!$B:$B,"平均")</f>
        <v>0</v>
      </c>
      <c r="F18" s="86">
        <f>SUMIFS('0318 4度C'!$Y:$Y,'0318 4度C'!$A:$A,"新豐5線",'0318 4度C'!$B:$B,"平均")</f>
        <v>0</v>
      </c>
      <c r="G18" s="86">
        <f>SUMIFS('0318 4度C'!$Y:$Y,'0318 4度C'!$A:$A,"新豐7線",'0318 4度C'!$B:$B,"平均")</f>
        <v>0</v>
      </c>
      <c r="H18" s="86">
        <f>SUMIFS('0318 4度C'!$Y:$Y,'0318 4度C'!$A:$A,"新豐3線",'0318 4度C'!$B:$B,"平均")</f>
        <v>0</v>
      </c>
      <c r="I18" s="86">
        <f>SUMIFS('0318 4度C'!$Y:$Y,'0318 4度C'!$A:$A,"新豐1線",'0318 4度C'!$B:$B,"平均")</f>
        <v>0</v>
      </c>
      <c r="J18" s="87">
        <f>SUMIFS('0318 4度C'!$Y:$Y,'0318 4度C'!$A:$A,"新豐10線",'0318 4度C'!$B:$B,"平均")</f>
        <v>0</v>
      </c>
      <c r="K18" s="88">
        <f>SUMIFS('0318 4度C'!$Y:$Y,'0318 4度C'!$A:$A,"新豐8線",'0318 4度C'!$B:$B,"平均")</f>
        <v>0</v>
      </c>
      <c r="L18" s="86">
        <f>SUMIFS('0318 4度C'!$Y:$Y,'0318 4度C'!$A:$A,"新豐9線",'0318 4度C'!$B:$B,"平均")</f>
        <v>0</v>
      </c>
      <c r="M18" s="87">
        <f>SUMIFS('0318 4度C'!$Y:$Y,'0318 4度C'!$A:$A,"新豐4線",'0318 4度C'!$B:$B,"平均")</f>
        <v>0</v>
      </c>
    </row>
    <row r="19" spans="2:13" ht="17.25" customHeight="1">
      <c r="B19" s="102"/>
      <c r="C19" s="84" t="s">
        <v>1551</v>
      </c>
      <c r="D19" s="85">
        <f>SUMIFS('0318 4度C'!$Z:$Z,'0318 4度C'!$A:$A,"新豐6線",'0318 4度C'!$B:$B,"平均")</f>
        <v>0</v>
      </c>
      <c r="E19" s="86">
        <f>SUMIFS('0318 4度C'!$Z:$Z,'0318 4度C'!$A:$A,"新豐2線",'0318 4度C'!$B:$B,"平均")</f>
        <v>0</v>
      </c>
      <c r="F19" s="86">
        <f>SUMIFS('0318 4度C'!$Z:$Z,'0318 4度C'!$A:$A,"新豐5線",'0318 4度C'!$B:$B,"平均")</f>
        <v>0</v>
      </c>
      <c r="G19" s="86">
        <f>SUMIFS('0318 4度C'!$Z:$Z,'0318 4度C'!$A:$A,"新豐7線",'0318 4度C'!$B:$B,"平均")</f>
        <v>0</v>
      </c>
      <c r="H19" s="86">
        <f>SUMIFS('0318 4度C'!$Z:$Z,'0318 4度C'!$A:$A,"新豐3線",'0318 4度C'!$B:$B,"平均")</f>
        <v>0</v>
      </c>
      <c r="I19" s="86">
        <f>SUMIFS('0318 4度C'!$Z:$Z,'0318 4度C'!$A:$A,"新豐1線",'0318 4度C'!$B:$B,"平均")</f>
        <v>0</v>
      </c>
      <c r="J19" s="87">
        <f>SUMIFS('0318 4度C'!$Z:$Z,'0318 4度C'!$A:$A,"新豐10線",'0318 4度C'!$B:$B,"平均")</f>
        <v>0</v>
      </c>
      <c r="K19" s="88">
        <f>SUMIFS('0318 4度C'!$Z:$Z,'0318 4度C'!$A:$A,"新豐8線",'0318 4度C'!$B:$B,"平均")</f>
        <v>0</v>
      </c>
      <c r="L19" s="86">
        <f>SUMIFS('0318 4度C'!$Z:$Z,'0318 4度C'!$A:$A,"新豐9線",'0318 4度C'!$B:$B,"平均")</f>
        <v>0</v>
      </c>
      <c r="M19" s="87">
        <f>SUMIFS('0318 4度C'!$Z:$Z,'0318 4度C'!$A:$A,"新豐4線",'0318 4度C'!$B:$B,"平均")</f>
        <v>0</v>
      </c>
    </row>
    <row r="20" spans="2:13" ht="17.25" customHeight="1">
      <c r="B20" s="101" t="s">
        <v>1552</v>
      </c>
      <c r="C20" s="84" t="s">
        <v>1553</v>
      </c>
      <c r="D20" s="85">
        <f>SUMIFS('0318 4度C'!$AC:$AC,'0318 4度C'!$A:$A,"新豐6線",'0318 4度C'!$B:$B,"平均")</f>
        <v>4</v>
      </c>
      <c r="E20" s="86">
        <f>SUMIFS('0318 4度C'!$AC:$AC,'0318 4度C'!$A:$A,"新豐2線",'0318 4度C'!$B:$B,"平均")</f>
        <v>2</v>
      </c>
      <c r="F20" s="86">
        <f>SUMIFS('0318 4度C'!$AC:$AC,'0318 4度C'!$A:$A,"新豐5線",'0318 4度C'!$B:$B,"平均")</f>
        <v>4</v>
      </c>
      <c r="G20" s="86">
        <f>SUMIFS('0318 4度C'!$AC:$AC,'0318 4度C'!$A:$A,"新豐7線",'0318 4度C'!$B:$B,"平均")</f>
        <v>5</v>
      </c>
      <c r="H20" s="86">
        <f>SUMIFS('0318 4度C'!$AC:$AC,'0318 4度C'!$A:$A,"新豐3線",'0318 4度C'!$B:$B,"平均")</f>
        <v>8</v>
      </c>
      <c r="I20" s="86">
        <f>SUMIFS('0318 4度C'!$AC:$AC,'0318 4度C'!$A:$A,"新豐1線",'0318 4度C'!$B:$B,"平均")</f>
        <v>8</v>
      </c>
      <c r="J20" s="87">
        <f>SUMIFS('0318 4度C'!$AC:$AC,'0318 4度C'!$A:$A,"新豐10線",'0318 4度C'!$B:$B,"平均")</f>
        <v>3</v>
      </c>
      <c r="K20" s="88">
        <f>SUMIFS('0318 4度C'!$AC:$AC,'0318 4度C'!$A:$A,"新豐8線",'0318 4度C'!$B:$B,"平均")</f>
        <v>6</v>
      </c>
      <c r="L20" s="86">
        <f>SUMIFS('0318 4度C'!$AC:$AC,'0318 4度C'!$A:$A,"新豐9線",'0318 4度C'!$B:$B,"平均")</f>
        <v>7</v>
      </c>
      <c r="M20" s="87">
        <f>SUMIFS('0318 4度C'!$AC:$AC,'0318 4度C'!$A:$A,"新豐4線",'0318 4度C'!$B:$B,"平均")</f>
        <v>6</v>
      </c>
    </row>
    <row r="21" spans="2:13" ht="17.25" customHeight="1">
      <c r="B21" s="102"/>
      <c r="C21" s="84" t="s">
        <v>1554</v>
      </c>
      <c r="D21" s="85">
        <f>SUMIFS('0318 4度C'!$AD:$AD,'0318 4度C'!$A:$A,"新豐6線",'0318 4度C'!$B:$B,"平均")</f>
        <v>0</v>
      </c>
      <c r="E21" s="86">
        <f>SUMIFS('0318 4度C'!$AD:$AD,'0318 4度C'!$A:$A,"新豐2線",'0318 4度C'!$B:$B,"平均")</f>
        <v>0</v>
      </c>
      <c r="F21" s="86">
        <f>SUMIFS('0318 4度C'!$AD:$AD,'0318 4度C'!$A:$A,"新豐5線",'0318 4度C'!$B:$B,"平均")</f>
        <v>0</v>
      </c>
      <c r="G21" s="86">
        <f>SUMIFS('0318 4度C'!$AD:$AD,'0318 4度C'!$A:$A,"新豐7線",'0318 4度C'!$B:$B,"平均")</f>
        <v>0</v>
      </c>
      <c r="H21" s="86">
        <f>SUMIFS('0318 4度C'!$AD:$AD,'0318 4度C'!$A:$A,"新豐3線",'0318 4度C'!$B:$B,"平均")</f>
        <v>0</v>
      </c>
      <c r="I21" s="86">
        <f>SUMIFS('0318 4度C'!$AD:$AD,'0318 4度C'!$A:$A,"新豐1線",'0318 4度C'!$B:$B,"平均")</f>
        <v>0</v>
      </c>
      <c r="J21" s="87">
        <f>SUMIFS('0318 4度C'!$AD:$AD,'0318 4度C'!$A:$A,"新豐10線",'0318 4度C'!$B:$B,"平均")</f>
        <v>0</v>
      </c>
      <c r="K21" s="88">
        <f>SUMIFS('0318 4度C'!$AD:$AD,'0318 4度C'!$A:$A,"新豐8線",'0318 4度C'!$B:$B,"平均")</f>
        <v>0</v>
      </c>
      <c r="L21" s="86">
        <f>SUMIFS('0318 4度C'!$AD:$AD,'0318 4度C'!$A:$A,"新豐9線",'0318 4度C'!$B:$B,"平均")</f>
        <v>0</v>
      </c>
      <c r="M21" s="87">
        <f>SUMIFS('0318 4度C'!$AD:$AD,'0318 4度C'!$A:$A,"新豐4線",'0318 4度C'!$B:$B,"平均")</f>
        <v>0</v>
      </c>
    </row>
    <row r="22" spans="2:13" ht="17.25" customHeight="1">
      <c r="B22" s="103" t="s">
        <v>1555</v>
      </c>
      <c r="C22" s="104"/>
      <c r="D22" s="89">
        <f>SUMIFS('0318 4度C'!$I:$I,'0318 4度C'!$A:$A,"新豐6線",'0318 4度C'!$B:$B,"平均")</f>
        <v>18</v>
      </c>
      <c r="E22" s="90">
        <f>SUMIFS('0318 4度C'!$I:$I,'0318 4度C'!$A:$A,"新豐2線",'0318 4度C'!$B:$B,"平均")</f>
        <v>18</v>
      </c>
      <c r="F22" s="90">
        <f>SUMIFS('0318 4度C'!$I:$I,'0318 4度C'!$A:$A,"新豐5線",'0318 4度C'!$B:$B,"平均")</f>
        <v>18.25</v>
      </c>
      <c r="G22" s="90">
        <f>SUMIFS('0318 4度C'!$I:$I,'0318 4度C'!$A:$A,"新豐7線",'0318 4度C'!$B:$B,"平均")</f>
        <v>14.8</v>
      </c>
      <c r="H22" s="90">
        <f>SUMIFS('0318 4度C'!$I:$I,'0318 4度C'!$A:$A,"新豐3線",'0318 4度C'!$B:$B,"平均")</f>
        <v>9.375</v>
      </c>
      <c r="I22" s="90">
        <f>SUMIFS('0318 4度C'!$I:$I,'0318 4度C'!$A:$A,"新豐1線",'0318 4度C'!$B:$B,"平均")</f>
        <v>18.875</v>
      </c>
      <c r="J22" s="91">
        <f>SUMIFS('0318 4度C'!$I:$I,'0318 4度C'!$A:$A,"新豐10線",'0318 4度C'!$B:$B,"平均")</f>
        <v>10.666666666666666</v>
      </c>
      <c r="K22" s="89">
        <f>SUMIFS('0318 4度C'!$I:$I,'0318 4度C'!$A:$A,"新豐8線",'0318 4度C'!$B:$B,"平均")</f>
        <v>18.333333333333332</v>
      </c>
      <c r="L22" s="90">
        <f>SUMIFS('0318 4度C'!$I:$I,'0318 4度C'!$A:$A,"新豐9線",'0318 4度C'!$B:$B,"平均")</f>
        <v>17.857142857142858</v>
      </c>
      <c r="M22" s="91">
        <f>SUMIFS('0318 4度C'!$I:$I,'0318 4度C'!$A:$A,"新豐4線",'0318 4度C'!$B:$B,"平均")</f>
        <v>15.166666666666666</v>
      </c>
    </row>
    <row r="23" spans="2:13" ht="17.25" customHeight="1">
      <c r="B23" s="103" t="s">
        <v>1556</v>
      </c>
      <c r="C23" s="104"/>
      <c r="D23" s="92" t="s">
        <v>185</v>
      </c>
      <c r="E23" s="93" t="s">
        <v>186</v>
      </c>
      <c r="F23" s="93" t="s">
        <v>1557</v>
      </c>
      <c r="G23" s="93" t="s">
        <v>1558</v>
      </c>
      <c r="H23" s="93" t="s">
        <v>188</v>
      </c>
      <c r="I23" s="93" t="s">
        <v>185</v>
      </c>
      <c r="J23" s="94" t="s">
        <v>188</v>
      </c>
      <c r="K23" s="92" t="s">
        <v>1559</v>
      </c>
      <c r="L23" s="93" t="s">
        <v>189</v>
      </c>
      <c r="M23" s="94" t="s">
        <v>1559</v>
      </c>
    </row>
    <row r="24" spans="2:13" ht="17.25" customHeight="1">
      <c r="B24" s="103" t="s">
        <v>1560</v>
      </c>
      <c r="C24" s="104"/>
      <c r="D24" s="92"/>
      <c r="E24" s="93"/>
      <c r="F24" s="93" t="s">
        <v>1561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192</v>
      </c>
      <c r="C25" s="106"/>
      <c r="D25" s="95"/>
      <c r="E25" s="96" t="s">
        <v>193</v>
      </c>
      <c r="F25" s="99" t="s">
        <v>1562</v>
      </c>
      <c r="G25" s="100"/>
      <c r="H25" s="96" t="s">
        <v>1563</v>
      </c>
      <c r="I25" s="96" t="s">
        <v>1564</v>
      </c>
      <c r="J25" s="97" t="s">
        <v>1563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G68"/>
  <sheetViews>
    <sheetView topLeftCell="G1" zoomScale="80" zoomScaleNormal="80" workbookViewId="0">
      <pane ySplit="4" topLeftCell="A50" activePane="bottomLeft" state="frozen"/>
      <selection activeCell="I4" sqref="I4:J4"/>
      <selection pane="bottomLeft" activeCell="I4" sqref="I4:J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SUM(F5:F67)</f>
        <v>155187</v>
      </c>
      <c r="E1" s="4" t="s">
        <v>1565</v>
      </c>
      <c r="F1" s="1">
        <f>SUM(G5:G67)</f>
        <v>5084855.8000000007</v>
      </c>
      <c r="G1" s="1" t="s">
        <v>1566</v>
      </c>
      <c r="H1" s="5">
        <f>L9+L12+L47+L56+L17+L60+L30+L38+L23+L67</f>
        <v>159.32380952380953</v>
      </c>
      <c r="I1" s="212" t="s">
        <v>4</v>
      </c>
      <c r="J1" s="212"/>
      <c r="K1" s="212"/>
      <c r="L1" s="212" t="s">
        <v>1567</v>
      </c>
      <c r="M1" s="212"/>
      <c r="N1" s="212"/>
      <c r="O1" s="212" t="s">
        <v>6</v>
      </c>
      <c r="P1" s="212"/>
      <c r="Q1" s="212"/>
      <c r="R1" s="212"/>
      <c r="S1" s="212" t="s">
        <v>7</v>
      </c>
      <c r="T1" s="212"/>
      <c r="U1" s="212"/>
      <c r="V1" s="212"/>
      <c r="W1" s="212"/>
      <c r="X1" s="212"/>
      <c r="Y1" s="6" t="s">
        <v>8</v>
      </c>
      <c r="Z1" s="7" t="s">
        <v>9</v>
      </c>
      <c r="AA1" s="213" t="s">
        <v>10</v>
      </c>
      <c r="AB1" s="213"/>
      <c r="AC1" s="42" t="s">
        <v>8</v>
      </c>
      <c r="AD1" s="7" t="s">
        <v>11</v>
      </c>
      <c r="AE1" s="212" t="s">
        <v>1568</v>
      </c>
      <c r="AF1" s="214"/>
      <c r="AG1" s="214"/>
    </row>
    <row r="2" spans="1:33" ht="26.25" customHeight="1">
      <c r="A2" s="33">
        <v>46099</v>
      </c>
      <c r="B2" s="34" t="s">
        <v>466</v>
      </c>
      <c r="C2" s="2" t="s">
        <v>13</v>
      </c>
      <c r="D2" s="9">
        <f>AVERAGE(N9,N12,N47,N56,N17,N60,N23,N30,N38,N67)</f>
        <v>145.6647203750469</v>
      </c>
      <c r="E2" s="10" t="s">
        <v>14</v>
      </c>
      <c r="F2" s="11">
        <f>F1/D1</f>
        <v>32.765990707984564</v>
      </c>
      <c r="G2" s="1" t="s">
        <v>1569</v>
      </c>
      <c r="H2" s="12">
        <f>COUNT(H5:H67)</f>
        <v>5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SUM(Y9+Y12+Y17+Y23+Y30+Y38+Y47+Y56+Y60+Y67)</f>
        <v>0</v>
      </c>
      <c r="Z2" s="13">
        <f>SUM(Z9+Z12+Z17+Z23+Z30+Z38+Z47+Z56+Z60+Z67)</f>
        <v>0</v>
      </c>
      <c r="AA2" s="213"/>
      <c r="AB2" s="213"/>
      <c r="AC2" s="13">
        <v>53</v>
      </c>
      <c r="AD2" s="13">
        <f>SUM(AD9+AD12+AD17+AD23+AD30+AD38+AD47+AD56+AD60+AD67)</f>
        <v>0</v>
      </c>
      <c r="AE2" s="214"/>
      <c r="AF2" s="214"/>
      <c r="AG2" s="214"/>
    </row>
    <row r="3" spans="1:33" ht="40.5" customHeight="1">
      <c r="A3" s="162" t="s">
        <v>1570</v>
      </c>
      <c r="B3" s="162" t="s">
        <v>1571</v>
      </c>
      <c r="C3" s="162" t="s">
        <v>18</v>
      </c>
      <c r="D3" s="162"/>
      <c r="E3" s="210" t="s">
        <v>19</v>
      </c>
      <c r="F3" s="162" t="s">
        <v>264</v>
      </c>
      <c r="G3" s="210" t="s">
        <v>265</v>
      </c>
      <c r="H3" s="204" t="s">
        <v>22</v>
      </c>
      <c r="I3" s="202" t="s">
        <v>1572</v>
      </c>
      <c r="J3" s="199" t="s">
        <v>24</v>
      </c>
      <c r="K3" s="209" t="s">
        <v>13</v>
      </c>
      <c r="L3" s="202" t="s">
        <v>267</v>
      </c>
      <c r="M3" s="199" t="s">
        <v>1573</v>
      </c>
      <c r="N3" s="209" t="s">
        <v>13</v>
      </c>
      <c r="O3" s="202" t="s">
        <v>267</v>
      </c>
      <c r="P3" s="209" t="s">
        <v>13</v>
      </c>
      <c r="Q3" s="200" t="s">
        <v>1574</v>
      </c>
      <c r="R3" s="178" t="s">
        <v>26</v>
      </c>
      <c r="S3" s="162" t="s">
        <v>27</v>
      </c>
      <c r="T3" s="162"/>
      <c r="U3" s="204" t="s">
        <v>28</v>
      </c>
      <c r="V3" s="204" t="s">
        <v>1575</v>
      </c>
      <c r="W3" s="162" t="s">
        <v>30</v>
      </c>
      <c r="X3" s="162"/>
      <c r="Y3" s="205" t="s">
        <v>1576</v>
      </c>
      <c r="Z3" s="166"/>
      <c r="AA3" s="206" t="s">
        <v>32</v>
      </c>
      <c r="AB3" s="207"/>
      <c r="AC3" s="205" t="s">
        <v>1577</v>
      </c>
      <c r="AD3" s="166"/>
      <c r="AE3" s="199" t="s">
        <v>24</v>
      </c>
      <c r="AF3" s="200" t="s">
        <v>25</v>
      </c>
      <c r="AG3" s="178" t="s">
        <v>1578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39</v>
      </c>
      <c r="X4" s="4" t="s">
        <v>1579</v>
      </c>
      <c r="Y4" s="14" t="s">
        <v>179</v>
      </c>
      <c r="Z4" s="14" t="s">
        <v>1580</v>
      </c>
      <c r="AA4" s="208"/>
      <c r="AB4" s="207"/>
      <c r="AC4" s="14" t="s">
        <v>43</v>
      </c>
      <c r="AD4" s="14" t="s">
        <v>44</v>
      </c>
      <c r="AE4" s="199"/>
      <c r="AF4" s="200"/>
      <c r="AG4" s="178"/>
    </row>
    <row r="5" spans="1:33">
      <c r="A5" s="201" t="s">
        <v>1581</v>
      </c>
      <c r="B5" s="35" t="s">
        <v>78</v>
      </c>
      <c r="C5" s="203" t="s">
        <v>79</v>
      </c>
      <c r="D5" s="203"/>
      <c r="E5" s="35">
        <v>50.67</v>
      </c>
      <c r="F5" s="4">
        <v>1419</v>
      </c>
      <c r="G5" s="4">
        <f t="shared" ref="G5:G8" si="0">E5*F5</f>
        <v>71900.73</v>
      </c>
      <c r="H5" s="21" t="s">
        <v>133</v>
      </c>
      <c r="I5" s="15">
        <v>17</v>
      </c>
      <c r="J5" s="17">
        <v>2000</v>
      </c>
      <c r="K5" s="16">
        <f t="shared" ref="K5:K67" si="1">J5/I5</f>
        <v>117.64705882352941</v>
      </c>
      <c r="L5" s="15">
        <v>17</v>
      </c>
      <c r="M5" s="17">
        <f t="shared" ref="M5:M8" si="2">F5/V5*60</f>
        <v>1935</v>
      </c>
      <c r="N5" s="16">
        <f t="shared" ref="N5:N67" si="3">M5/L5</f>
        <v>113.82352941176471</v>
      </c>
      <c r="O5" s="18">
        <f t="shared" ref="O5:O67" si="4">L5-I5</f>
        <v>0</v>
      </c>
      <c r="P5" s="19">
        <f t="shared" ref="P5:P67" si="5">N5-K5</f>
        <v>-3.8235294117646959</v>
      </c>
      <c r="Q5" s="20">
        <f t="shared" ref="Q5:Q67" si="6">N5/K5</f>
        <v>0.96750000000000014</v>
      </c>
      <c r="R5" s="170">
        <f>Q9</f>
        <v>0.95867364253393739</v>
      </c>
      <c r="S5" s="27">
        <v>0.70833333333333337</v>
      </c>
      <c r="T5" s="27">
        <v>0.73888888888888893</v>
      </c>
      <c r="U5" s="4"/>
      <c r="V5" s="21">
        <f t="shared" ref="V5:V8" si="7">(T5-S5)*24*60</f>
        <v>44</v>
      </c>
      <c r="W5" s="22"/>
      <c r="X5" s="23"/>
      <c r="Y5" s="23"/>
      <c r="Z5" s="23"/>
      <c r="AA5" s="162"/>
      <c r="AB5" s="162"/>
      <c r="AC5" s="24">
        <v>4</v>
      </c>
      <c r="AD5" s="24"/>
      <c r="AE5" s="18">
        <f t="shared" ref="AE5:AE55" si="8">M5-J5</f>
        <v>-65</v>
      </c>
      <c r="AF5" s="20">
        <f t="shared" ref="AF5:AF67" si="9">M5/J5</f>
        <v>0.96750000000000003</v>
      </c>
      <c r="AG5" s="170">
        <f>AF9</f>
        <v>0.95867364253393739</v>
      </c>
    </row>
    <row r="6" spans="1:33">
      <c r="A6" s="202" t="s">
        <v>45</v>
      </c>
      <c r="B6" s="35" t="s">
        <v>78</v>
      </c>
      <c r="C6" s="203" t="s">
        <v>80</v>
      </c>
      <c r="D6" s="203"/>
      <c r="E6" s="35">
        <v>54.09</v>
      </c>
      <c r="F6" s="4">
        <v>1216</v>
      </c>
      <c r="G6" s="4">
        <f t="shared" si="0"/>
        <v>65773.440000000002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1919.9999999999984</v>
      </c>
      <c r="N6" s="16">
        <f t="shared" si="3"/>
        <v>101.05263157894728</v>
      </c>
      <c r="O6" s="18">
        <f t="shared" si="4"/>
        <v>0</v>
      </c>
      <c r="P6" s="19">
        <f t="shared" si="5"/>
        <v>-4.2105263157895507</v>
      </c>
      <c r="Q6" s="20">
        <f t="shared" si="6"/>
        <v>0.9599999999999993</v>
      </c>
      <c r="R6" s="170"/>
      <c r="S6" s="27">
        <v>0.74236111111111114</v>
      </c>
      <c r="T6" s="27">
        <v>0.76875000000000004</v>
      </c>
      <c r="U6" s="4">
        <f t="shared" ref="U6:U8" si="10">IF(S6=TIME(17,0,0),"",(S6-T5)*24*60)</f>
        <v>4.9999999999999822</v>
      </c>
      <c r="V6" s="21">
        <f t="shared" si="7"/>
        <v>38.000000000000028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-80.000000000001592</v>
      </c>
      <c r="AF6" s="20">
        <f t="shared" si="9"/>
        <v>0.95999999999999919</v>
      </c>
      <c r="AG6" s="170"/>
    </row>
    <row r="7" spans="1:33">
      <c r="A7" s="202" t="s">
        <v>45</v>
      </c>
      <c r="B7" s="35" t="s">
        <v>78</v>
      </c>
      <c r="C7" s="197" t="s">
        <v>82</v>
      </c>
      <c r="D7" s="198"/>
      <c r="E7" s="35">
        <v>50.67</v>
      </c>
      <c r="F7" s="4">
        <v>413</v>
      </c>
      <c r="G7" s="4">
        <f t="shared" si="0"/>
        <v>20926.71</v>
      </c>
      <c r="H7" s="21" t="s">
        <v>133</v>
      </c>
      <c r="I7" s="15">
        <v>21</v>
      </c>
      <c r="J7" s="17">
        <v>2000</v>
      </c>
      <c r="K7" s="16">
        <f t="shared" si="1"/>
        <v>95.238095238095241</v>
      </c>
      <c r="L7" s="15">
        <v>21</v>
      </c>
      <c r="M7" s="17">
        <f t="shared" si="2"/>
        <v>1906.153846153853</v>
      </c>
      <c r="N7" s="16">
        <f t="shared" si="3"/>
        <v>90.7692307692311</v>
      </c>
      <c r="O7" s="18">
        <f t="shared" si="4"/>
        <v>0</v>
      </c>
      <c r="P7" s="19">
        <f t="shared" si="5"/>
        <v>-4.4688644688641403</v>
      </c>
      <c r="Q7" s="20">
        <f t="shared" si="6"/>
        <v>0.95307692307692649</v>
      </c>
      <c r="R7" s="170"/>
      <c r="S7" s="27">
        <v>0.77430555555555558</v>
      </c>
      <c r="T7" s="27">
        <v>0.78333333333333333</v>
      </c>
      <c r="U7" s="4">
        <f t="shared" si="10"/>
        <v>7.9999999999999716</v>
      </c>
      <c r="V7" s="21">
        <f t="shared" si="7"/>
        <v>12.999999999999954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-93.84615384614699</v>
      </c>
      <c r="AF7" s="20">
        <f t="shared" si="9"/>
        <v>0.95307692307692649</v>
      </c>
      <c r="AG7" s="170"/>
    </row>
    <row r="8" spans="1:33">
      <c r="A8" s="202" t="s">
        <v>45</v>
      </c>
      <c r="B8" s="35" t="s">
        <v>78</v>
      </c>
      <c r="C8" s="197" t="s">
        <v>91</v>
      </c>
      <c r="D8" s="198"/>
      <c r="E8" s="35">
        <v>50.67</v>
      </c>
      <c r="F8" s="4">
        <v>1622</v>
      </c>
      <c r="G8" s="4">
        <f t="shared" si="0"/>
        <v>82186.740000000005</v>
      </c>
      <c r="H8" s="21" t="s">
        <v>133</v>
      </c>
      <c r="I8" s="15">
        <v>15</v>
      </c>
      <c r="J8" s="17">
        <v>2000</v>
      </c>
      <c r="K8" s="16">
        <f t="shared" si="1"/>
        <v>133.33333333333334</v>
      </c>
      <c r="L8" s="15">
        <v>15</v>
      </c>
      <c r="M8" s="17">
        <f t="shared" si="2"/>
        <v>1908.235294117648</v>
      </c>
      <c r="N8" s="16">
        <f t="shared" si="3"/>
        <v>127.21568627450986</v>
      </c>
      <c r="O8" s="18">
        <f t="shared" si="4"/>
        <v>0</v>
      </c>
      <c r="P8" s="19">
        <f t="shared" si="5"/>
        <v>-6.1176470588234793</v>
      </c>
      <c r="Q8" s="20">
        <f t="shared" si="6"/>
        <v>0.95411764705882396</v>
      </c>
      <c r="R8" s="170"/>
      <c r="S8" s="27">
        <v>0.78749999999999998</v>
      </c>
      <c r="T8" s="27">
        <v>0.82291666666666663</v>
      </c>
      <c r="U8" s="4">
        <f t="shared" si="10"/>
        <v>5.9999999999999787</v>
      </c>
      <c r="V8" s="21">
        <f t="shared" si="7"/>
        <v>50.999999999999979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-91.764705882352018</v>
      </c>
      <c r="AF8" s="20">
        <f t="shared" si="9"/>
        <v>0.95411764705882396</v>
      </c>
      <c r="AG8" s="170"/>
    </row>
    <row r="9" spans="1:33">
      <c r="A9" s="202" t="s">
        <v>45</v>
      </c>
      <c r="B9" s="35" t="s">
        <v>48</v>
      </c>
      <c r="C9" s="171"/>
      <c r="D9" s="171"/>
      <c r="E9" s="36"/>
      <c r="F9" s="16"/>
      <c r="G9" s="16"/>
      <c r="H9" s="4"/>
      <c r="I9" s="29">
        <v>18</v>
      </c>
      <c r="J9" s="17">
        <v>2000</v>
      </c>
      <c r="K9" s="16">
        <f t="shared" si="1"/>
        <v>111.11111111111111</v>
      </c>
      <c r="L9" s="29">
        <v>18</v>
      </c>
      <c r="M9" s="17">
        <f>AVERAGE(M5:M8)</f>
        <v>1917.3472850678747</v>
      </c>
      <c r="N9" s="16">
        <f t="shared" si="3"/>
        <v>106.51929361488193</v>
      </c>
      <c r="O9" s="18">
        <f t="shared" si="4"/>
        <v>0</v>
      </c>
      <c r="P9" s="19">
        <f t="shared" si="5"/>
        <v>-4.5918174962291829</v>
      </c>
      <c r="Q9" s="20">
        <f t="shared" si="6"/>
        <v>0.95867364253393739</v>
      </c>
      <c r="R9" s="170"/>
      <c r="S9" s="27"/>
      <c r="T9" s="27"/>
      <c r="U9" s="4"/>
      <c r="V9" s="21"/>
      <c r="W9" s="16"/>
      <c r="X9" s="16"/>
      <c r="Y9" s="30">
        <f>SUM(Y5:Y8)</f>
        <v>0</v>
      </c>
      <c r="Z9" s="30">
        <f>SUM(Z5:Z8)</f>
        <v>0</v>
      </c>
      <c r="AA9" s="166"/>
      <c r="AB9" s="166"/>
      <c r="AC9" s="30">
        <v>4</v>
      </c>
      <c r="AD9" s="30">
        <f>SUM(AD5:AD8)</f>
        <v>0</v>
      </c>
      <c r="AE9" s="18">
        <f t="shared" si="8"/>
        <v>-82.652714932125264</v>
      </c>
      <c r="AF9" s="20">
        <f t="shared" si="9"/>
        <v>0.95867364253393739</v>
      </c>
      <c r="AG9" s="170"/>
    </row>
    <row r="10" spans="1:33" ht="15.75" customHeight="1">
      <c r="A10" s="196" t="s">
        <v>1582</v>
      </c>
      <c r="B10" s="35" t="s">
        <v>84</v>
      </c>
      <c r="C10" s="197" t="s">
        <v>85</v>
      </c>
      <c r="D10" s="198"/>
      <c r="E10" s="35">
        <v>39.619999999999997</v>
      </c>
      <c r="F10" s="4">
        <v>4081</v>
      </c>
      <c r="G10" s="4">
        <f t="shared" ref="G10:G11" si="11">E10*F10</f>
        <v>161689.22</v>
      </c>
      <c r="H10" s="21" t="s">
        <v>133</v>
      </c>
      <c r="I10" s="15">
        <v>19</v>
      </c>
      <c r="J10" s="17">
        <v>1500</v>
      </c>
      <c r="K10" s="16">
        <f t="shared" si="1"/>
        <v>78.94736842105263</v>
      </c>
      <c r="L10" s="15">
        <v>19</v>
      </c>
      <c r="M10" s="17">
        <f t="shared" ref="M10:M11" si="12">F10/V10*60</f>
        <v>1431.9298245614036</v>
      </c>
      <c r="N10" s="16">
        <f t="shared" si="3"/>
        <v>75.364727608494931</v>
      </c>
      <c r="O10" s="18">
        <f t="shared" si="4"/>
        <v>0</v>
      </c>
      <c r="P10" s="19">
        <f t="shared" si="5"/>
        <v>-3.582640812557699</v>
      </c>
      <c r="Q10" s="20">
        <f t="shared" si="6"/>
        <v>0.95461988304093581</v>
      </c>
      <c r="R10" s="170">
        <f>Q12</f>
        <v>0.95536237597739693</v>
      </c>
      <c r="S10" s="27">
        <v>0.20833333333333334</v>
      </c>
      <c r="T10" s="27">
        <v>0.32708333333333334</v>
      </c>
      <c r="U10" s="4"/>
      <c r="V10" s="21">
        <f t="shared" ref="V10:V11" si="13">(T10-S10)*24*60</f>
        <v>170.99999999999997</v>
      </c>
      <c r="W10" s="22"/>
      <c r="X10" s="22"/>
      <c r="Y10" s="22"/>
      <c r="Z10" s="22"/>
      <c r="AA10" s="162"/>
      <c r="AB10" s="162"/>
      <c r="AC10" s="24">
        <v>2</v>
      </c>
      <c r="AD10" s="24"/>
      <c r="AE10" s="18">
        <f t="shared" si="8"/>
        <v>-68.07017543859638</v>
      </c>
      <c r="AF10" s="20">
        <f t="shared" si="9"/>
        <v>0.9546198830409357</v>
      </c>
      <c r="AG10" s="170">
        <f>AF12</f>
        <v>0.95536237597739682</v>
      </c>
    </row>
    <row r="11" spans="1:33" ht="15.75" customHeight="1">
      <c r="A11" s="196" t="s">
        <v>1582</v>
      </c>
      <c r="B11" s="35" t="s">
        <v>84</v>
      </c>
      <c r="C11" s="197" t="s">
        <v>86</v>
      </c>
      <c r="D11" s="198"/>
      <c r="E11" s="35">
        <v>39.799999999999997</v>
      </c>
      <c r="F11" s="4">
        <v>6382</v>
      </c>
      <c r="G11" s="4">
        <f t="shared" si="11"/>
        <v>254003.59999999998</v>
      </c>
      <c r="H11" s="21" t="s">
        <v>133</v>
      </c>
      <c r="I11" s="15">
        <v>17</v>
      </c>
      <c r="J11" s="17">
        <v>1500</v>
      </c>
      <c r="K11" s="16">
        <f t="shared" si="1"/>
        <v>88.235294117647058</v>
      </c>
      <c r="L11" s="15">
        <v>17</v>
      </c>
      <c r="M11" s="17">
        <f t="shared" si="12"/>
        <v>1434.1573033707868</v>
      </c>
      <c r="N11" s="16">
        <f t="shared" si="3"/>
        <v>84.362194315928633</v>
      </c>
      <c r="O11" s="18">
        <f t="shared" si="4"/>
        <v>0</v>
      </c>
      <c r="P11" s="19">
        <f t="shared" si="5"/>
        <v>-3.8730998017184248</v>
      </c>
      <c r="Q11" s="20">
        <f t="shared" si="6"/>
        <v>0.95610486891385782</v>
      </c>
      <c r="R11" s="170"/>
      <c r="S11" s="27">
        <v>0.33124999999999999</v>
      </c>
      <c r="T11" s="27">
        <v>0.51666666666666661</v>
      </c>
      <c r="U11" s="4">
        <f t="shared" ref="U11" si="14">IF(S11=TIME(17,0,0),"",(S11-T10)*24*60)</f>
        <v>5.9999999999999787</v>
      </c>
      <c r="V11" s="21">
        <f t="shared" si="13"/>
        <v>266.99999999999994</v>
      </c>
      <c r="W11" s="22"/>
      <c r="X11" s="22"/>
      <c r="Y11" s="22"/>
      <c r="Z11" s="22"/>
      <c r="AA11" s="162"/>
      <c r="AB11" s="162"/>
      <c r="AC11" s="24"/>
      <c r="AD11" s="24"/>
      <c r="AE11" s="18">
        <f t="shared" si="8"/>
        <v>-65.842696629213151</v>
      </c>
      <c r="AF11" s="20">
        <f t="shared" si="9"/>
        <v>0.95610486891385793</v>
      </c>
      <c r="AG11" s="170"/>
    </row>
    <row r="12" spans="1:33" ht="16.5" customHeight="1">
      <c r="A12" s="196" t="s">
        <v>1582</v>
      </c>
      <c r="B12" s="35" t="s">
        <v>1583</v>
      </c>
      <c r="C12" s="171"/>
      <c r="D12" s="171"/>
      <c r="E12" s="36"/>
      <c r="F12" s="17"/>
      <c r="G12" s="17"/>
      <c r="H12" s="4"/>
      <c r="I12" s="29">
        <v>18</v>
      </c>
      <c r="J12" s="17">
        <v>1500</v>
      </c>
      <c r="K12" s="16">
        <f t="shared" si="1"/>
        <v>83.333333333333329</v>
      </c>
      <c r="L12" s="29">
        <v>18</v>
      </c>
      <c r="M12" s="17">
        <f>AVERAGE(M10:M11)</f>
        <v>1433.0435639660952</v>
      </c>
      <c r="N12" s="16">
        <f t="shared" si="3"/>
        <v>79.613531331449735</v>
      </c>
      <c r="O12" s="18">
        <f t="shared" si="4"/>
        <v>0</v>
      </c>
      <c r="P12" s="19">
        <f t="shared" si="5"/>
        <v>-3.7198020018835933</v>
      </c>
      <c r="Q12" s="20">
        <f t="shared" si="6"/>
        <v>0.95536237597739693</v>
      </c>
      <c r="R12" s="170"/>
      <c r="S12" s="27"/>
      <c r="T12" s="27"/>
      <c r="U12" s="16"/>
      <c r="V12" s="21"/>
      <c r="W12" s="16"/>
      <c r="X12" s="16"/>
      <c r="Y12" s="30">
        <f>SUM(Y10:Y11)</f>
        <v>0</v>
      </c>
      <c r="Z12" s="30">
        <f>SUM(Z10:Z11)</f>
        <v>0</v>
      </c>
      <c r="AA12" s="166"/>
      <c r="AB12" s="166"/>
      <c r="AC12" s="30">
        <v>2</v>
      </c>
      <c r="AD12" s="30">
        <f>SUM(AD10:AD11)</f>
        <v>0</v>
      </c>
      <c r="AE12" s="18">
        <f t="shared" si="8"/>
        <v>-66.956436033904765</v>
      </c>
      <c r="AF12" s="20">
        <f t="shared" si="9"/>
        <v>0.95536237597739682</v>
      </c>
      <c r="AG12" s="170"/>
    </row>
    <row r="13" spans="1:33" ht="16.5" customHeight="1">
      <c r="A13" s="194" t="s">
        <v>1584</v>
      </c>
      <c r="B13" s="4" t="s">
        <v>87</v>
      </c>
      <c r="C13" s="190" t="s">
        <v>88</v>
      </c>
      <c r="D13" s="190"/>
      <c r="E13" s="35">
        <v>41</v>
      </c>
      <c r="F13" s="4">
        <v>2874</v>
      </c>
      <c r="G13" s="4">
        <f t="shared" ref="G13:G16" si="15">E13*F13</f>
        <v>117834</v>
      </c>
      <c r="H13" s="21" t="s">
        <v>133</v>
      </c>
      <c r="I13" s="15">
        <v>26</v>
      </c>
      <c r="J13" s="17">
        <v>1500</v>
      </c>
      <c r="K13" s="16">
        <f t="shared" si="1"/>
        <v>57.692307692307693</v>
      </c>
      <c r="L13" s="15">
        <v>26</v>
      </c>
      <c r="M13" s="17">
        <f t="shared" ref="M13:M16" si="16">F13/V13*60</f>
        <v>1437</v>
      </c>
      <c r="N13" s="16">
        <f t="shared" si="3"/>
        <v>55.269230769230766</v>
      </c>
      <c r="O13" s="18">
        <f t="shared" si="4"/>
        <v>0</v>
      </c>
      <c r="P13" s="19">
        <f t="shared" si="5"/>
        <v>-2.4230769230769269</v>
      </c>
      <c r="Q13" s="20">
        <f t="shared" si="6"/>
        <v>0.95799999999999996</v>
      </c>
      <c r="R13" s="170">
        <f>Q17</f>
        <v>0.95883582089552344</v>
      </c>
      <c r="S13" s="27">
        <v>0.20833333333333334</v>
      </c>
      <c r="T13" s="27">
        <v>0.29166666666666669</v>
      </c>
      <c r="U13" s="4"/>
      <c r="V13" s="21">
        <f t="shared" ref="V13:V16" si="17">(T13-S13)*24*60</f>
        <v>120</v>
      </c>
      <c r="W13" s="27"/>
      <c r="X13" s="27"/>
      <c r="Y13" s="27"/>
      <c r="Z13" s="27"/>
      <c r="AA13" s="162"/>
      <c r="AB13" s="162"/>
      <c r="AC13" s="24">
        <v>4</v>
      </c>
      <c r="AD13" s="24"/>
      <c r="AE13" s="18">
        <f t="shared" si="8"/>
        <v>-63</v>
      </c>
      <c r="AF13" s="20">
        <f t="shared" si="9"/>
        <v>0.95799999999999996</v>
      </c>
      <c r="AG13" s="170">
        <f>AF17</f>
        <v>0.95883582089552333</v>
      </c>
    </row>
    <row r="14" spans="1:33" ht="16.5" customHeight="1">
      <c r="A14" s="195" t="s">
        <v>1584</v>
      </c>
      <c r="B14" s="4" t="s">
        <v>78</v>
      </c>
      <c r="C14" s="190" t="s">
        <v>89</v>
      </c>
      <c r="D14" s="190"/>
      <c r="E14" s="35">
        <v>50.98</v>
      </c>
      <c r="F14" s="4">
        <v>2286</v>
      </c>
      <c r="G14" s="4">
        <f t="shared" si="15"/>
        <v>116540.28</v>
      </c>
      <c r="H14" s="21" t="s">
        <v>133</v>
      </c>
      <c r="I14" s="15">
        <v>16</v>
      </c>
      <c r="J14" s="17">
        <v>2000</v>
      </c>
      <c r="K14" s="16">
        <f t="shared" si="1"/>
        <v>125</v>
      </c>
      <c r="L14" s="15">
        <v>16</v>
      </c>
      <c r="M14" s="17">
        <f t="shared" si="16"/>
        <v>1904.9999999999984</v>
      </c>
      <c r="N14" s="16">
        <f t="shared" si="3"/>
        <v>119.0624999999999</v>
      </c>
      <c r="O14" s="18">
        <f t="shared" si="4"/>
        <v>0</v>
      </c>
      <c r="P14" s="19">
        <f t="shared" si="5"/>
        <v>-5.9375000000000995</v>
      </c>
      <c r="Q14" s="20">
        <f t="shared" si="6"/>
        <v>0.95249999999999924</v>
      </c>
      <c r="R14" s="170"/>
      <c r="S14" s="27">
        <v>0.70833333333333337</v>
      </c>
      <c r="T14" s="27">
        <v>0.75833333333333341</v>
      </c>
      <c r="U14" s="4" t="str">
        <f t="shared" ref="U14:U16" si="18">IF(S14=TIME(17,0,0),"",(S14-T13)*24*60)</f>
        <v/>
      </c>
      <c r="V14" s="21">
        <f t="shared" si="17"/>
        <v>72.000000000000057</v>
      </c>
      <c r="W14" s="22"/>
      <c r="X14" s="22"/>
      <c r="Y14" s="22"/>
      <c r="Z14" s="22"/>
      <c r="AA14" s="162"/>
      <c r="AB14" s="162"/>
      <c r="AC14" s="24"/>
      <c r="AD14" s="24"/>
      <c r="AE14" s="18">
        <f t="shared" si="8"/>
        <v>-95.000000000001592</v>
      </c>
      <c r="AF14" s="20">
        <f t="shared" si="9"/>
        <v>0.95249999999999924</v>
      </c>
      <c r="AG14" s="170"/>
    </row>
    <row r="15" spans="1:33" ht="16.5" customHeight="1">
      <c r="A15" s="195" t="s">
        <v>1584</v>
      </c>
      <c r="B15" s="4" t="s">
        <v>78</v>
      </c>
      <c r="C15" s="190" t="s">
        <v>83</v>
      </c>
      <c r="D15" s="190"/>
      <c r="E15" s="35">
        <v>50.67</v>
      </c>
      <c r="F15" s="4">
        <v>641</v>
      </c>
      <c r="G15" s="4">
        <f t="shared" si="15"/>
        <v>32479.47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1923.0000000000066</v>
      </c>
      <c r="N15" s="16">
        <f t="shared" si="3"/>
        <v>120.18750000000041</v>
      </c>
      <c r="O15" s="18">
        <f t="shared" si="4"/>
        <v>0</v>
      </c>
      <c r="P15" s="19">
        <f t="shared" si="5"/>
        <v>-4.8124999999995879</v>
      </c>
      <c r="Q15" s="20">
        <f t="shared" si="6"/>
        <v>0.96150000000000335</v>
      </c>
      <c r="R15" s="170"/>
      <c r="S15" s="27">
        <v>0.76180555555555562</v>
      </c>
      <c r="T15" s="27">
        <v>0.77569444444444446</v>
      </c>
      <c r="U15" s="4">
        <f t="shared" si="18"/>
        <v>4.9999999999999822</v>
      </c>
      <c r="V15" s="21">
        <f t="shared" si="17"/>
        <v>19.999999999999929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-76.999999999993406</v>
      </c>
      <c r="AF15" s="20">
        <f t="shared" si="9"/>
        <v>0.96150000000000335</v>
      </c>
      <c r="AG15" s="170"/>
    </row>
    <row r="16" spans="1:33" ht="16.5" customHeight="1">
      <c r="A16" s="195" t="s">
        <v>1584</v>
      </c>
      <c r="B16" s="4" t="s">
        <v>78</v>
      </c>
      <c r="C16" s="190" t="s">
        <v>90</v>
      </c>
      <c r="D16" s="190"/>
      <c r="E16" s="35">
        <v>50.92</v>
      </c>
      <c r="F16" s="4">
        <v>2151</v>
      </c>
      <c r="G16" s="4">
        <f t="shared" si="15"/>
        <v>109528.92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1926.2686567164203</v>
      </c>
      <c r="N16" s="16">
        <f t="shared" si="3"/>
        <v>128.41791044776136</v>
      </c>
      <c r="O16" s="18">
        <f t="shared" si="4"/>
        <v>0</v>
      </c>
      <c r="P16" s="19">
        <f t="shared" si="5"/>
        <v>-4.915422885571985</v>
      </c>
      <c r="Q16" s="20">
        <f t="shared" si="6"/>
        <v>0.96313432835821011</v>
      </c>
      <c r="R16" s="170"/>
      <c r="S16" s="27">
        <v>0.78125</v>
      </c>
      <c r="T16" s="27">
        <v>0.82777777777777772</v>
      </c>
      <c r="U16" s="4">
        <f t="shared" si="18"/>
        <v>7.9999999999999716</v>
      </c>
      <c r="V16" s="21">
        <f t="shared" si="17"/>
        <v>66.999999999999915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-73.73134328357969</v>
      </c>
      <c r="AF16" s="20">
        <f t="shared" si="9"/>
        <v>0.96313432835821011</v>
      </c>
      <c r="AG16" s="170"/>
    </row>
    <row r="17" spans="1:33" ht="16.5" customHeight="1">
      <c r="A17" s="195" t="s">
        <v>1584</v>
      </c>
      <c r="B17" s="35" t="s">
        <v>1583</v>
      </c>
      <c r="C17" s="171"/>
      <c r="D17" s="171"/>
      <c r="E17" s="36"/>
      <c r="F17" s="16"/>
      <c r="G17" s="16"/>
      <c r="H17" s="4"/>
      <c r="I17" s="29">
        <v>18.25</v>
      </c>
      <c r="J17" s="17">
        <v>1875</v>
      </c>
      <c r="K17" s="16">
        <f t="shared" si="1"/>
        <v>102.73972602739725</v>
      </c>
      <c r="L17" s="29">
        <v>18.25</v>
      </c>
      <c r="M17" s="17">
        <f>AVERAGE(M13:M16)</f>
        <v>1797.8171641791062</v>
      </c>
      <c r="N17" s="16">
        <f t="shared" si="3"/>
        <v>98.510529544060617</v>
      </c>
      <c r="O17" s="18">
        <f t="shared" si="4"/>
        <v>0</v>
      </c>
      <c r="P17" s="19">
        <f t="shared" si="5"/>
        <v>-4.2291964833366364</v>
      </c>
      <c r="Q17" s="20">
        <f t="shared" si="6"/>
        <v>0.95883582089552344</v>
      </c>
      <c r="R17" s="170"/>
      <c r="S17" s="27"/>
      <c r="T17" s="27"/>
      <c r="U17" s="4"/>
      <c r="V17" s="21"/>
      <c r="W17" s="16"/>
      <c r="X17" s="16"/>
      <c r="Y17" s="30">
        <f>SUM(Y13:Y16)</f>
        <v>0</v>
      </c>
      <c r="Z17" s="30">
        <f>SUM(Z13:Z16)</f>
        <v>0</v>
      </c>
      <c r="AA17" s="166"/>
      <c r="AB17" s="166"/>
      <c r="AC17" s="30">
        <v>4</v>
      </c>
      <c r="AD17" s="30">
        <f>SUM(AD13:AD16)</f>
        <v>0</v>
      </c>
      <c r="AE17" s="18">
        <f t="shared" si="8"/>
        <v>-77.182835820893843</v>
      </c>
      <c r="AF17" s="20">
        <f t="shared" si="9"/>
        <v>0.95883582089552333</v>
      </c>
      <c r="AG17" s="170"/>
    </row>
    <row r="18" spans="1:33" ht="15.75" customHeight="1">
      <c r="A18" s="192" t="s">
        <v>1585</v>
      </c>
      <c r="B18" s="35" t="s">
        <v>78</v>
      </c>
      <c r="C18" s="190" t="s">
        <v>92</v>
      </c>
      <c r="D18" s="190"/>
      <c r="E18" s="35">
        <v>57.73</v>
      </c>
      <c r="F18" s="4">
        <v>2216</v>
      </c>
      <c r="G18" s="4">
        <f t="shared" ref="G18:G22" si="19">E18*F18</f>
        <v>127929.68</v>
      </c>
      <c r="H18" s="21" t="s">
        <v>133</v>
      </c>
      <c r="I18" s="15">
        <v>14</v>
      </c>
      <c r="J18" s="17">
        <v>2000</v>
      </c>
      <c r="K18" s="16">
        <f t="shared" si="1"/>
        <v>142.85714285714286</v>
      </c>
      <c r="L18" s="15">
        <v>14</v>
      </c>
      <c r="M18" s="17">
        <f t="shared" ref="M18:M22" si="20">F18/V18*60</f>
        <v>1926.9565217391319</v>
      </c>
      <c r="N18" s="16">
        <f t="shared" si="3"/>
        <v>137.63975155279513</v>
      </c>
      <c r="O18" s="18">
        <f t="shared" si="4"/>
        <v>0</v>
      </c>
      <c r="P18" s="19">
        <f t="shared" si="5"/>
        <v>-5.2173913043477285</v>
      </c>
      <c r="Q18" s="20">
        <f t="shared" si="6"/>
        <v>0.96347826086956589</v>
      </c>
      <c r="R18" s="170">
        <f>Q23</f>
        <v>0.96266094495385113</v>
      </c>
      <c r="S18" s="27">
        <v>0.20833333333333334</v>
      </c>
      <c r="T18" s="27">
        <v>0.25624999999999998</v>
      </c>
      <c r="U18" s="4"/>
      <c r="V18" s="21">
        <f t="shared" ref="V18:V22" si="21">(T18-S18)*24*60</f>
        <v>68.999999999999957</v>
      </c>
      <c r="W18" s="27"/>
      <c r="X18" s="27"/>
      <c r="Y18" s="27"/>
      <c r="Z18" s="27"/>
      <c r="AA18" s="162"/>
      <c r="AB18" s="162"/>
      <c r="AC18" s="24">
        <v>5</v>
      </c>
      <c r="AD18" s="24"/>
      <c r="AE18" s="18">
        <f t="shared" si="8"/>
        <v>-73.043478260868142</v>
      </c>
      <c r="AF18" s="20">
        <f t="shared" si="9"/>
        <v>0.96347826086956589</v>
      </c>
      <c r="AG18" s="170">
        <f>AF23</f>
        <v>0.96266094495385124</v>
      </c>
    </row>
    <row r="19" spans="1:33" ht="15.75" customHeight="1">
      <c r="A19" s="193" t="s">
        <v>1585</v>
      </c>
      <c r="B19" s="35" t="s">
        <v>78</v>
      </c>
      <c r="C19" s="190" t="s">
        <v>93</v>
      </c>
      <c r="D19" s="190"/>
      <c r="E19" s="35">
        <v>53.68</v>
      </c>
      <c r="F19" s="4">
        <v>1251</v>
      </c>
      <c r="G19" s="4">
        <f t="shared" si="19"/>
        <v>67153.679999999993</v>
      </c>
      <c r="H19" s="21" t="s">
        <v>133</v>
      </c>
      <c r="I19" s="15">
        <v>16</v>
      </c>
      <c r="J19" s="17">
        <v>2000</v>
      </c>
      <c r="K19" s="16">
        <f t="shared" si="1"/>
        <v>125</v>
      </c>
      <c r="L19" s="15">
        <v>16</v>
      </c>
      <c r="M19" s="17">
        <f t="shared" si="20"/>
        <v>1924.6153846153836</v>
      </c>
      <c r="N19" s="16">
        <f t="shared" si="3"/>
        <v>120.28846153846148</v>
      </c>
      <c r="O19" s="18">
        <f t="shared" si="4"/>
        <v>0</v>
      </c>
      <c r="P19" s="19">
        <f t="shared" si="5"/>
        <v>-4.7115384615385238</v>
      </c>
      <c r="Q19" s="20">
        <f t="shared" si="6"/>
        <v>0.96230769230769186</v>
      </c>
      <c r="R19" s="170"/>
      <c r="S19" s="27">
        <v>0.26180555555555551</v>
      </c>
      <c r="T19" s="27">
        <v>0.28888888888888886</v>
      </c>
      <c r="U19" s="4">
        <f t="shared" ref="U19:U22" si="22">IF(S19=TIME(17,0,0),"",(S19-T18)*24*60)</f>
        <v>7.9999999999999716</v>
      </c>
      <c r="V19" s="21">
        <f t="shared" si="21"/>
        <v>39.000000000000021</v>
      </c>
      <c r="W19" s="22"/>
      <c r="X19" s="4"/>
      <c r="Y19" s="4"/>
      <c r="Z19" s="4"/>
      <c r="AA19" s="162"/>
      <c r="AB19" s="162"/>
      <c r="AC19" s="24"/>
      <c r="AD19" s="24"/>
      <c r="AE19" s="18">
        <f t="shared" si="8"/>
        <v>-75.384615384616382</v>
      </c>
      <c r="AF19" s="20">
        <f t="shared" si="9"/>
        <v>0.96230769230769186</v>
      </c>
      <c r="AG19" s="170"/>
    </row>
    <row r="20" spans="1:33" ht="15.75" customHeight="1">
      <c r="A20" s="193" t="s">
        <v>1585</v>
      </c>
      <c r="B20" s="35" t="s">
        <v>78</v>
      </c>
      <c r="C20" s="190" t="s">
        <v>94</v>
      </c>
      <c r="D20" s="190"/>
      <c r="E20" s="35">
        <v>50.49</v>
      </c>
      <c r="F20" s="4">
        <v>1923</v>
      </c>
      <c r="G20" s="4">
        <f t="shared" si="19"/>
        <v>97092.27</v>
      </c>
      <c r="H20" s="21" t="s">
        <v>133</v>
      </c>
      <c r="I20" s="15">
        <v>15</v>
      </c>
      <c r="J20" s="17">
        <v>2000</v>
      </c>
      <c r="K20" s="16">
        <f t="shared" si="1"/>
        <v>133.33333333333334</v>
      </c>
      <c r="L20" s="15">
        <v>15</v>
      </c>
      <c r="M20" s="17">
        <f t="shared" si="20"/>
        <v>1923.000000000002</v>
      </c>
      <c r="N20" s="16">
        <f t="shared" si="3"/>
        <v>128.20000000000013</v>
      </c>
      <c r="O20" s="18">
        <f t="shared" si="4"/>
        <v>0</v>
      </c>
      <c r="P20" s="19">
        <f t="shared" si="5"/>
        <v>-5.1333333333332121</v>
      </c>
      <c r="Q20" s="20">
        <f t="shared" si="6"/>
        <v>0.96150000000000091</v>
      </c>
      <c r="R20" s="170"/>
      <c r="S20" s="27">
        <v>0.70833333333333337</v>
      </c>
      <c r="T20" s="27">
        <v>0.75</v>
      </c>
      <c r="U20" s="4" t="str">
        <f t="shared" si="22"/>
        <v/>
      </c>
      <c r="V20" s="21">
        <f t="shared" si="21"/>
        <v>59.999999999999943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-76.999999999997954</v>
      </c>
      <c r="AF20" s="20">
        <f t="shared" si="9"/>
        <v>0.96150000000000102</v>
      </c>
      <c r="AG20" s="170"/>
    </row>
    <row r="21" spans="1:33" ht="15.75" customHeight="1">
      <c r="A21" s="193" t="s">
        <v>1585</v>
      </c>
      <c r="B21" s="35" t="s">
        <v>78</v>
      </c>
      <c r="C21" s="190" t="s">
        <v>96</v>
      </c>
      <c r="D21" s="190"/>
      <c r="E21" s="35">
        <v>57.3</v>
      </c>
      <c r="F21" s="4">
        <v>1736</v>
      </c>
      <c r="G21" s="4">
        <f t="shared" si="19"/>
        <v>99472.799999999988</v>
      </c>
      <c r="H21" s="21" t="s">
        <v>133</v>
      </c>
      <c r="I21" s="15">
        <v>13</v>
      </c>
      <c r="J21" s="17">
        <v>2000</v>
      </c>
      <c r="K21" s="16">
        <f t="shared" si="1"/>
        <v>153.84615384615384</v>
      </c>
      <c r="L21" s="15">
        <v>13</v>
      </c>
      <c r="M21" s="17">
        <f t="shared" si="20"/>
        <v>1928.8888888888901</v>
      </c>
      <c r="N21" s="16">
        <f t="shared" si="3"/>
        <v>148.37606837606847</v>
      </c>
      <c r="O21" s="18">
        <f t="shared" si="4"/>
        <v>0</v>
      </c>
      <c r="P21" s="19">
        <f t="shared" si="5"/>
        <v>-5.4700854700853654</v>
      </c>
      <c r="Q21" s="20">
        <f t="shared" si="6"/>
        <v>0.9644444444444451</v>
      </c>
      <c r="R21" s="170"/>
      <c r="S21" s="27">
        <v>0.75416666666666665</v>
      </c>
      <c r="T21" s="27">
        <v>0.79166666666666663</v>
      </c>
      <c r="U21" s="4">
        <f t="shared" si="22"/>
        <v>5.9999999999999787</v>
      </c>
      <c r="V21" s="21">
        <f t="shared" si="21"/>
        <v>53.999999999999972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-71.111111111109949</v>
      </c>
      <c r="AF21" s="20">
        <f t="shared" si="9"/>
        <v>0.96444444444444499</v>
      </c>
      <c r="AG21" s="170"/>
    </row>
    <row r="22" spans="1:33" ht="15.75" customHeight="1">
      <c r="A22" s="193" t="s">
        <v>1585</v>
      </c>
      <c r="B22" s="35" t="s">
        <v>78</v>
      </c>
      <c r="C22" s="190" t="s">
        <v>95</v>
      </c>
      <c r="D22" s="190"/>
      <c r="E22" s="35">
        <v>53.68</v>
      </c>
      <c r="F22" s="4">
        <v>1586</v>
      </c>
      <c r="G22" s="4">
        <f t="shared" si="19"/>
        <v>85136.48</v>
      </c>
      <c r="H22" s="21" t="s">
        <v>133</v>
      </c>
      <c r="I22" s="15">
        <v>16</v>
      </c>
      <c r="J22" s="17">
        <v>1500</v>
      </c>
      <c r="K22" s="16">
        <f t="shared" si="1"/>
        <v>93.75</v>
      </c>
      <c r="L22" s="15">
        <v>16</v>
      </c>
      <c r="M22" s="17">
        <f t="shared" si="20"/>
        <v>1441.8181818181799</v>
      </c>
      <c r="N22" s="16">
        <f t="shared" si="3"/>
        <v>90.113636363636246</v>
      </c>
      <c r="O22" s="18">
        <f t="shared" si="4"/>
        <v>0</v>
      </c>
      <c r="P22" s="19">
        <f t="shared" si="5"/>
        <v>-3.6363636363637539</v>
      </c>
      <c r="Q22" s="20">
        <f t="shared" si="6"/>
        <v>0.96121212121211996</v>
      </c>
      <c r="R22" s="170"/>
      <c r="S22" s="27">
        <v>0.79513888888888884</v>
      </c>
      <c r="T22" s="27">
        <v>0.84097222222222223</v>
      </c>
      <c r="U22" s="4">
        <f t="shared" si="22"/>
        <v>4.9999999999999822</v>
      </c>
      <c r="V22" s="21">
        <f t="shared" si="21"/>
        <v>66.000000000000085</v>
      </c>
      <c r="W22" s="22"/>
      <c r="X22" s="22"/>
      <c r="Y22" s="4"/>
      <c r="Z22" s="4"/>
      <c r="AA22" s="162"/>
      <c r="AB22" s="162"/>
      <c r="AC22" s="24"/>
      <c r="AD22" s="24"/>
      <c r="AE22" s="18">
        <f t="shared" si="8"/>
        <v>-58.181818181820063</v>
      </c>
      <c r="AF22" s="20">
        <f t="shared" si="9"/>
        <v>0.96121212121211996</v>
      </c>
      <c r="AG22" s="170"/>
    </row>
    <row r="23" spans="1:33" ht="15.75" customHeight="1">
      <c r="A23" s="193" t="s">
        <v>1585</v>
      </c>
      <c r="B23" s="35" t="s">
        <v>1583</v>
      </c>
      <c r="C23" s="171"/>
      <c r="D23" s="171"/>
      <c r="E23" s="36"/>
      <c r="F23" s="4"/>
      <c r="G23" s="4"/>
      <c r="H23" s="4"/>
      <c r="I23" s="29">
        <v>14.8</v>
      </c>
      <c r="J23" s="17">
        <v>1900</v>
      </c>
      <c r="K23" s="16">
        <f t="shared" si="1"/>
        <v>128.37837837837839</v>
      </c>
      <c r="L23" s="29">
        <v>14.8</v>
      </c>
      <c r="M23" s="17">
        <f>AVERAGE(M18:M22)</f>
        <v>1829.0557954123174</v>
      </c>
      <c r="N23" s="16">
        <f t="shared" si="3"/>
        <v>123.58485104137279</v>
      </c>
      <c r="O23" s="18">
        <f t="shared" si="4"/>
        <v>0</v>
      </c>
      <c r="P23" s="19">
        <f t="shared" si="5"/>
        <v>-4.7935273370055995</v>
      </c>
      <c r="Q23" s="20">
        <f t="shared" si="6"/>
        <v>0.96266094495385113</v>
      </c>
      <c r="R23" s="170"/>
      <c r="S23" s="27"/>
      <c r="T23" s="27"/>
      <c r="U23" s="16"/>
      <c r="V23" s="21"/>
      <c r="W23" s="16"/>
      <c r="X23" s="16"/>
      <c r="Y23" s="30">
        <f>SUM(Y18:Y22)</f>
        <v>0</v>
      </c>
      <c r="Z23" s="30">
        <f>SUM(Z18:Z22)</f>
        <v>0</v>
      </c>
      <c r="AA23" s="166"/>
      <c r="AB23" s="166"/>
      <c r="AC23" s="30">
        <v>5</v>
      </c>
      <c r="AD23" s="30">
        <f>SUM(AD18:AD22)</f>
        <v>0</v>
      </c>
      <c r="AE23" s="18">
        <f t="shared" si="8"/>
        <v>-70.944204587682634</v>
      </c>
      <c r="AF23" s="20">
        <f t="shared" si="9"/>
        <v>0.96266094495385124</v>
      </c>
      <c r="AG23" s="170"/>
    </row>
    <row r="24" spans="1:33" ht="15.75" customHeight="1">
      <c r="A24" s="191" t="s">
        <v>1586</v>
      </c>
      <c r="B24" s="35" t="s">
        <v>97</v>
      </c>
      <c r="C24" s="190" t="s">
        <v>98</v>
      </c>
      <c r="D24" s="190"/>
      <c r="E24" s="35">
        <v>31.29</v>
      </c>
      <c r="F24" s="4">
        <v>6000</v>
      </c>
      <c r="G24" s="4">
        <f t="shared" ref="G24:G29" si="23">E24*F24</f>
        <v>187740</v>
      </c>
      <c r="H24" s="21">
        <v>2</v>
      </c>
      <c r="I24" s="15">
        <v>18</v>
      </c>
      <c r="J24" s="17">
        <v>2400</v>
      </c>
      <c r="K24" s="16">
        <f t="shared" si="1"/>
        <v>133.33333333333334</v>
      </c>
      <c r="L24" s="15">
        <v>18</v>
      </c>
      <c r="M24" s="17">
        <f t="shared" ref="M24:M29" si="24">F24/V24*60</f>
        <v>2292.993630573249</v>
      </c>
      <c r="N24" s="16">
        <f t="shared" si="3"/>
        <v>127.38853503184717</v>
      </c>
      <c r="O24" s="18">
        <f t="shared" si="4"/>
        <v>0</v>
      </c>
      <c r="P24" s="19">
        <f t="shared" si="5"/>
        <v>-5.9447983014861734</v>
      </c>
      <c r="Q24" s="20">
        <f t="shared" si="6"/>
        <v>0.95541401273885374</v>
      </c>
      <c r="R24" s="170">
        <f>Q30</f>
        <v>0.95608339356142535</v>
      </c>
      <c r="S24" s="27">
        <v>8.3333333333333329E-2</v>
      </c>
      <c r="T24" s="27">
        <v>0.19236111111111109</v>
      </c>
      <c r="U24" s="4"/>
      <c r="V24" s="21">
        <f t="shared" ref="V24:V29" si="25">(T24-S24)*24*60</f>
        <v>156.99999999999997</v>
      </c>
      <c r="W24" s="22">
        <f>T24</f>
        <v>0.19236111111111109</v>
      </c>
      <c r="X24" s="22">
        <f>S25</f>
        <v>0.21249999999999999</v>
      </c>
      <c r="Y24" s="22"/>
      <c r="Z24" s="22"/>
      <c r="AA24" s="162"/>
      <c r="AB24" s="162"/>
      <c r="AC24" s="24">
        <v>6</v>
      </c>
      <c r="AD24" s="24"/>
      <c r="AE24" s="18">
        <f t="shared" si="8"/>
        <v>-107.00636942675101</v>
      </c>
      <c r="AF24" s="20">
        <f t="shared" si="9"/>
        <v>0.95541401273885374</v>
      </c>
      <c r="AG24" s="170">
        <f>AF30</f>
        <v>0.95608339356142535</v>
      </c>
    </row>
    <row r="25" spans="1:33" ht="15.75" customHeight="1">
      <c r="A25" s="191" t="s">
        <v>1586</v>
      </c>
      <c r="B25" s="35" t="s">
        <v>97</v>
      </c>
      <c r="C25" s="190" t="s">
        <v>99</v>
      </c>
      <c r="D25" s="190"/>
      <c r="E25" s="35">
        <v>25.98</v>
      </c>
      <c r="F25" s="4">
        <v>3205</v>
      </c>
      <c r="G25" s="4">
        <f t="shared" si="23"/>
        <v>83265.899999999994</v>
      </c>
      <c r="H25" s="21" t="s">
        <v>133</v>
      </c>
      <c r="I25" s="15">
        <v>21</v>
      </c>
      <c r="J25" s="17">
        <v>2400</v>
      </c>
      <c r="K25" s="16">
        <f t="shared" si="1"/>
        <v>114.28571428571429</v>
      </c>
      <c r="L25" s="15">
        <v>21</v>
      </c>
      <c r="M25" s="17">
        <f t="shared" si="24"/>
        <v>2289.2857142857147</v>
      </c>
      <c r="N25" s="16">
        <f t="shared" si="3"/>
        <v>109.0136054421769</v>
      </c>
      <c r="O25" s="18">
        <f t="shared" si="4"/>
        <v>0</v>
      </c>
      <c r="P25" s="19">
        <f t="shared" si="5"/>
        <v>-5.2721088435373957</v>
      </c>
      <c r="Q25" s="20">
        <f t="shared" si="6"/>
        <v>0.95386904761904778</v>
      </c>
      <c r="R25" s="170"/>
      <c r="S25" s="27">
        <v>0.21249999999999999</v>
      </c>
      <c r="T25" s="27">
        <v>0.27083333333333331</v>
      </c>
      <c r="U25" s="4">
        <f t="shared" ref="U25:U29" si="26">(S25-T24)*24*60</f>
        <v>29.000000000000018</v>
      </c>
      <c r="V25" s="21">
        <f t="shared" si="25"/>
        <v>83.999999999999986</v>
      </c>
      <c r="W25" s="22"/>
      <c r="X25" s="22"/>
      <c r="Y25" s="22"/>
      <c r="Z25" s="22"/>
      <c r="AA25" s="162"/>
      <c r="AB25" s="162"/>
      <c r="AC25" s="24"/>
      <c r="AD25" s="24"/>
      <c r="AE25" s="18">
        <f t="shared" si="8"/>
        <v>-110.71428571428532</v>
      </c>
      <c r="AF25" s="20">
        <f t="shared" si="9"/>
        <v>0.95386904761904778</v>
      </c>
      <c r="AG25" s="170"/>
    </row>
    <row r="26" spans="1:33" ht="15.75" customHeight="1">
      <c r="A26" s="191" t="s">
        <v>1586</v>
      </c>
      <c r="B26" s="35" t="s">
        <v>97</v>
      </c>
      <c r="C26" s="190" t="s">
        <v>100</v>
      </c>
      <c r="D26" s="190"/>
      <c r="E26" s="35">
        <v>26.2</v>
      </c>
      <c r="F26" s="4">
        <v>5315</v>
      </c>
      <c r="G26" s="4">
        <f t="shared" si="23"/>
        <v>139253</v>
      </c>
      <c r="H26" s="21" t="s">
        <v>133</v>
      </c>
      <c r="I26" s="15">
        <v>20</v>
      </c>
      <c r="J26" s="17">
        <v>2400</v>
      </c>
      <c r="K26" s="16">
        <f t="shared" si="1"/>
        <v>120</v>
      </c>
      <c r="L26" s="15">
        <v>20</v>
      </c>
      <c r="M26" s="17">
        <f t="shared" si="24"/>
        <v>2294.2446043165469</v>
      </c>
      <c r="N26" s="16">
        <f t="shared" si="3"/>
        <v>114.71223021582735</v>
      </c>
      <c r="O26" s="18">
        <f t="shared" si="4"/>
        <v>0</v>
      </c>
      <c r="P26" s="19">
        <f t="shared" si="5"/>
        <v>-5.287769784172653</v>
      </c>
      <c r="Q26" s="20">
        <f t="shared" si="6"/>
        <v>0.9559352517985612</v>
      </c>
      <c r="R26" s="170"/>
      <c r="S26" s="27">
        <v>0.27430555555555552</v>
      </c>
      <c r="T26" s="27">
        <v>0.37083333333333329</v>
      </c>
      <c r="U26" s="4">
        <f t="shared" si="26"/>
        <v>4.9999999999999822</v>
      </c>
      <c r="V26" s="21">
        <f t="shared" si="25"/>
        <v>139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-105.75539568345312</v>
      </c>
      <c r="AF26" s="20">
        <f t="shared" si="9"/>
        <v>0.9559352517985612</v>
      </c>
      <c r="AG26" s="170"/>
    </row>
    <row r="27" spans="1:33" ht="15.75" customHeight="1">
      <c r="A27" s="191" t="s">
        <v>1586</v>
      </c>
      <c r="B27" s="35" t="s">
        <v>97</v>
      </c>
      <c r="C27" s="190" t="s">
        <v>101</v>
      </c>
      <c r="D27" s="190"/>
      <c r="E27" s="35">
        <v>25.99</v>
      </c>
      <c r="F27" s="4">
        <v>4269</v>
      </c>
      <c r="G27" s="4">
        <f t="shared" si="23"/>
        <v>110951.31</v>
      </c>
      <c r="H27" s="21" t="s">
        <v>133</v>
      </c>
      <c r="I27" s="15">
        <v>14</v>
      </c>
      <c r="J27" s="17">
        <v>2400</v>
      </c>
      <c r="K27" s="16">
        <f t="shared" si="1"/>
        <v>171.42857142857142</v>
      </c>
      <c r="L27" s="15">
        <v>14</v>
      </c>
      <c r="M27" s="17">
        <f t="shared" si="24"/>
        <v>2286.9642857142858</v>
      </c>
      <c r="N27" s="16">
        <f t="shared" si="3"/>
        <v>163.3545918367347</v>
      </c>
      <c r="O27" s="18">
        <f t="shared" si="4"/>
        <v>0</v>
      </c>
      <c r="P27" s="19">
        <f t="shared" si="5"/>
        <v>-8.0739795918367179</v>
      </c>
      <c r="Q27" s="20">
        <f t="shared" si="6"/>
        <v>0.95290178571428585</v>
      </c>
      <c r="R27" s="170"/>
      <c r="S27" s="27">
        <v>0.3743055555555555</v>
      </c>
      <c r="T27" s="27">
        <v>0.45208333333333328</v>
      </c>
      <c r="U27" s="4">
        <f t="shared" si="26"/>
        <v>4.9999999999999822</v>
      </c>
      <c r="V27" s="21">
        <f t="shared" si="25"/>
        <v>112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-113.03571428571422</v>
      </c>
      <c r="AF27" s="20">
        <f t="shared" si="9"/>
        <v>0.95290178571428574</v>
      </c>
      <c r="AG27" s="170"/>
    </row>
    <row r="28" spans="1:33" ht="15.75" customHeight="1">
      <c r="A28" s="191" t="s">
        <v>1586</v>
      </c>
      <c r="B28" s="35" t="s">
        <v>97</v>
      </c>
      <c r="C28" s="190" t="s">
        <v>102</v>
      </c>
      <c r="D28" s="190"/>
      <c r="E28" s="35">
        <v>26.18</v>
      </c>
      <c r="F28" s="4">
        <v>1885</v>
      </c>
      <c r="G28" s="4">
        <f t="shared" si="23"/>
        <v>49349.3</v>
      </c>
      <c r="H28" s="21" t="s">
        <v>133</v>
      </c>
      <c r="I28" s="15">
        <v>19</v>
      </c>
      <c r="J28" s="17">
        <v>2400</v>
      </c>
      <c r="K28" s="16">
        <f t="shared" si="1"/>
        <v>126.31578947368421</v>
      </c>
      <c r="L28" s="15">
        <v>19</v>
      </c>
      <c r="M28" s="17">
        <f t="shared" si="24"/>
        <v>2308.1632653061233</v>
      </c>
      <c r="N28" s="16">
        <f t="shared" si="3"/>
        <v>121.48227712137491</v>
      </c>
      <c r="O28" s="18">
        <f t="shared" si="4"/>
        <v>0</v>
      </c>
      <c r="P28" s="19">
        <f t="shared" si="5"/>
        <v>-4.8335123523092989</v>
      </c>
      <c r="Q28" s="20">
        <f t="shared" si="6"/>
        <v>0.96173469387755139</v>
      </c>
      <c r="R28" s="170"/>
      <c r="S28" s="27">
        <v>0.45624999999999993</v>
      </c>
      <c r="T28" s="27">
        <v>0.4902777777777777</v>
      </c>
      <c r="U28" s="4">
        <f t="shared" si="26"/>
        <v>5.9999999999999787</v>
      </c>
      <c r="V28" s="21">
        <f t="shared" si="25"/>
        <v>48.999999999999986</v>
      </c>
      <c r="W28" s="22">
        <f>T28</f>
        <v>0.4902777777777777</v>
      </c>
      <c r="X28" s="22">
        <f>S29</f>
        <v>0.53124999999999989</v>
      </c>
      <c r="Y28" s="22"/>
      <c r="Z28" s="22"/>
      <c r="AA28" s="162"/>
      <c r="AB28" s="162"/>
      <c r="AC28" s="24"/>
      <c r="AD28" s="24"/>
      <c r="AE28" s="18">
        <f t="shared" si="8"/>
        <v>-91.836734693876679</v>
      </c>
      <c r="AF28" s="20">
        <f t="shared" si="9"/>
        <v>0.96173469387755139</v>
      </c>
      <c r="AG28" s="170"/>
    </row>
    <row r="29" spans="1:33" ht="15.75" customHeight="1">
      <c r="A29" s="191" t="s">
        <v>1586</v>
      </c>
      <c r="B29" s="35" t="s">
        <v>97</v>
      </c>
      <c r="C29" s="190" t="s">
        <v>98</v>
      </c>
      <c r="D29" s="190"/>
      <c r="E29" s="35">
        <v>31.29</v>
      </c>
      <c r="F29" s="4">
        <v>3023</v>
      </c>
      <c r="G29" s="4">
        <f t="shared" si="23"/>
        <v>94589.67</v>
      </c>
      <c r="H29" s="21" t="s">
        <v>133</v>
      </c>
      <c r="I29" s="15">
        <v>18</v>
      </c>
      <c r="J29" s="17">
        <v>2400</v>
      </c>
      <c r="K29" s="16">
        <f t="shared" si="1"/>
        <v>133.33333333333334</v>
      </c>
      <c r="L29" s="15">
        <v>18</v>
      </c>
      <c r="M29" s="17">
        <f t="shared" si="24"/>
        <v>2295.9493670886063</v>
      </c>
      <c r="N29" s="16">
        <f t="shared" si="3"/>
        <v>127.55274261603368</v>
      </c>
      <c r="O29" s="18">
        <f t="shared" si="4"/>
        <v>0</v>
      </c>
      <c r="P29" s="19">
        <f t="shared" si="5"/>
        <v>-5.7805907172996598</v>
      </c>
      <c r="Q29" s="20">
        <f t="shared" si="6"/>
        <v>0.9566455696202526</v>
      </c>
      <c r="R29" s="170"/>
      <c r="S29" s="27">
        <v>0.53124999999999989</v>
      </c>
      <c r="T29" s="27">
        <v>0.58611111111111103</v>
      </c>
      <c r="U29" s="4">
        <f t="shared" si="26"/>
        <v>58.99999999999995</v>
      </c>
      <c r="V29" s="21">
        <f t="shared" si="25"/>
        <v>79.000000000000043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-104.05063291139368</v>
      </c>
      <c r="AF29" s="20">
        <f t="shared" si="9"/>
        <v>0.9566455696202526</v>
      </c>
      <c r="AG29" s="170"/>
    </row>
    <row r="30" spans="1:33" ht="15.75" customHeight="1">
      <c r="A30" s="191" t="s">
        <v>1586</v>
      </c>
      <c r="B30" s="35" t="s">
        <v>1583</v>
      </c>
      <c r="C30" s="171"/>
      <c r="D30" s="171"/>
      <c r="E30" s="36"/>
      <c r="F30" s="4"/>
      <c r="G30" s="4"/>
      <c r="H30" s="4"/>
      <c r="I30" s="29">
        <v>18.333333333333332</v>
      </c>
      <c r="J30" s="17">
        <v>2400</v>
      </c>
      <c r="K30" s="16">
        <f t="shared" si="1"/>
        <v>130.90909090909091</v>
      </c>
      <c r="L30" s="29">
        <v>18.333333333333332</v>
      </c>
      <c r="M30" s="17">
        <f>AVERAGE(M24:M29)</f>
        <v>2294.6001445474208</v>
      </c>
      <c r="N30" s="16">
        <f t="shared" si="3"/>
        <v>125.16000788440478</v>
      </c>
      <c r="O30" s="18">
        <f t="shared" si="4"/>
        <v>0</v>
      </c>
      <c r="P30" s="19">
        <f t="shared" si="5"/>
        <v>-5.7490830246861293</v>
      </c>
      <c r="Q30" s="20">
        <f t="shared" si="6"/>
        <v>0.95608339356142535</v>
      </c>
      <c r="R30" s="170"/>
      <c r="S30" s="27"/>
      <c r="T30" s="27"/>
      <c r="U30" s="4"/>
      <c r="V30" s="21"/>
      <c r="W30" s="4"/>
      <c r="X30" s="4"/>
      <c r="Y30" s="30">
        <f>SUM(Y24:Y29)</f>
        <v>0</v>
      </c>
      <c r="Z30" s="30">
        <f>SUM(Z24:Z29)</f>
        <v>0</v>
      </c>
      <c r="AA30" s="166"/>
      <c r="AB30" s="166"/>
      <c r="AC30" s="30">
        <v>6</v>
      </c>
      <c r="AD30" s="30">
        <f>SUM(AD24:AD29)</f>
        <v>0</v>
      </c>
      <c r="AE30" s="18">
        <f t="shared" si="8"/>
        <v>-105.39985545257923</v>
      </c>
      <c r="AF30" s="20">
        <f t="shared" si="9"/>
        <v>0.95608339356142535</v>
      </c>
      <c r="AG30" s="170"/>
    </row>
    <row r="31" spans="1:33" ht="15.75" customHeight="1">
      <c r="A31" s="188" t="s">
        <v>1587</v>
      </c>
      <c r="B31" s="35" t="s">
        <v>97</v>
      </c>
      <c r="C31" s="163" t="s">
        <v>103</v>
      </c>
      <c r="D31" s="163"/>
      <c r="E31" s="35">
        <v>26.2</v>
      </c>
      <c r="F31" s="4">
        <v>4200</v>
      </c>
      <c r="G31" s="4">
        <f t="shared" ref="G31:G37" si="27">E31*F31</f>
        <v>110040</v>
      </c>
      <c r="H31" s="21">
        <v>2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ref="M31:M37" si="28">F31/V31*60</f>
        <v>2290.909090909091</v>
      </c>
      <c r="N31" s="16">
        <f t="shared" si="3"/>
        <v>127.27272727272728</v>
      </c>
      <c r="O31" s="18">
        <f t="shared" si="4"/>
        <v>0</v>
      </c>
      <c r="P31" s="19">
        <f t="shared" si="5"/>
        <v>-6.0606060606060623</v>
      </c>
      <c r="Q31" s="20">
        <f t="shared" si="6"/>
        <v>0.95454545454545459</v>
      </c>
      <c r="R31" s="170">
        <f>Q38</f>
        <v>0.95637305064522604</v>
      </c>
      <c r="S31" s="27">
        <v>8.3333333333333329E-2</v>
      </c>
      <c r="T31" s="27">
        <v>0.15972222222222221</v>
      </c>
      <c r="U31" s="4"/>
      <c r="V31" s="21">
        <f t="shared" ref="V31:V37" si="29">(T31-S31)*24*60</f>
        <v>109.99999999999999</v>
      </c>
      <c r="W31" s="27">
        <f>T31</f>
        <v>0.15972222222222221</v>
      </c>
      <c r="X31" s="27">
        <f>S32</f>
        <v>0.18055555555555555</v>
      </c>
      <c r="Y31" s="27"/>
      <c r="Z31" s="27"/>
      <c r="AA31" s="162"/>
      <c r="AB31" s="162"/>
      <c r="AC31" s="24">
        <v>7</v>
      </c>
      <c r="AD31" s="24"/>
      <c r="AE31" s="18">
        <f t="shared" si="8"/>
        <v>-109.09090909090901</v>
      </c>
      <c r="AF31" s="20">
        <f t="shared" si="9"/>
        <v>0.95454545454545459</v>
      </c>
      <c r="AG31" s="170">
        <f>AF38</f>
        <v>0.95637305064522615</v>
      </c>
    </row>
    <row r="32" spans="1:33" ht="15.75" customHeight="1">
      <c r="A32" s="188" t="s">
        <v>1587</v>
      </c>
      <c r="B32" s="35" t="s">
        <v>97</v>
      </c>
      <c r="C32" s="163" t="s">
        <v>104</v>
      </c>
      <c r="D32" s="163"/>
      <c r="E32" s="35">
        <v>20.52</v>
      </c>
      <c r="F32" s="4">
        <v>3929</v>
      </c>
      <c r="G32" s="4">
        <f t="shared" si="27"/>
        <v>80623.08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8"/>
        <v>2288.7378640776697</v>
      </c>
      <c r="N32" s="16">
        <f t="shared" si="3"/>
        <v>127.15210355987054</v>
      </c>
      <c r="O32" s="18">
        <f t="shared" si="4"/>
        <v>0</v>
      </c>
      <c r="P32" s="19">
        <f t="shared" si="5"/>
        <v>-6.1812297734628032</v>
      </c>
      <c r="Q32" s="20">
        <f t="shared" si="6"/>
        <v>0.95364077669902902</v>
      </c>
      <c r="R32" s="170"/>
      <c r="S32" s="27">
        <v>0.18055555555555555</v>
      </c>
      <c r="T32" s="27">
        <v>0.25208333333333333</v>
      </c>
      <c r="U32" s="4">
        <f t="shared" ref="U32:U37" si="30">(S32-T31)*24*60</f>
        <v>30.000000000000014</v>
      </c>
      <c r="V32" s="21">
        <f t="shared" si="29"/>
        <v>103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-111.26213592233034</v>
      </c>
      <c r="AF32" s="20">
        <f t="shared" si="9"/>
        <v>0.95364077669902902</v>
      </c>
      <c r="AG32" s="170"/>
    </row>
    <row r="33" spans="1:33">
      <c r="A33" s="189" t="s">
        <v>1587</v>
      </c>
      <c r="B33" s="35" t="s">
        <v>97</v>
      </c>
      <c r="C33" s="163" t="s">
        <v>105</v>
      </c>
      <c r="D33" s="163"/>
      <c r="E33" s="35">
        <v>26.39</v>
      </c>
      <c r="F33" s="4">
        <v>3700</v>
      </c>
      <c r="G33" s="4">
        <f t="shared" si="27"/>
        <v>97643</v>
      </c>
      <c r="H33" s="21">
        <v>2</v>
      </c>
      <c r="I33" s="15">
        <v>19</v>
      </c>
      <c r="J33" s="17">
        <v>2400</v>
      </c>
      <c r="K33" s="16">
        <f t="shared" si="1"/>
        <v>126.31578947368421</v>
      </c>
      <c r="L33" s="15">
        <v>19</v>
      </c>
      <c r="M33" s="17">
        <f t="shared" si="28"/>
        <v>2288.6597938144337</v>
      </c>
      <c r="N33" s="16">
        <f t="shared" si="3"/>
        <v>120.4557786218123</v>
      </c>
      <c r="O33" s="18">
        <f t="shared" si="4"/>
        <v>0</v>
      </c>
      <c r="P33" s="19">
        <f t="shared" si="5"/>
        <v>-5.8600108518719054</v>
      </c>
      <c r="Q33" s="20">
        <f t="shared" si="6"/>
        <v>0.9536082474226808</v>
      </c>
      <c r="R33" s="170"/>
      <c r="S33" s="27">
        <v>0.25624999999999998</v>
      </c>
      <c r="T33" s="27">
        <v>0.32361111111111107</v>
      </c>
      <c r="U33" s="4">
        <f t="shared" si="30"/>
        <v>5.9999999999999787</v>
      </c>
      <c r="V33" s="21">
        <f t="shared" si="29"/>
        <v>96.999999999999972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-111.34020618556633</v>
      </c>
      <c r="AF33" s="20">
        <f t="shared" si="9"/>
        <v>0.95360824742268069</v>
      </c>
      <c r="AG33" s="170"/>
    </row>
    <row r="34" spans="1:33">
      <c r="A34" s="189" t="s">
        <v>1587</v>
      </c>
      <c r="B34" s="35" t="s">
        <v>97</v>
      </c>
      <c r="C34" s="163" t="s">
        <v>107</v>
      </c>
      <c r="D34" s="163"/>
      <c r="E34" s="35">
        <v>20.52</v>
      </c>
      <c r="F34" s="4">
        <v>2915</v>
      </c>
      <c r="G34" s="4">
        <f t="shared" si="27"/>
        <v>59815.799999999996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2301.3157894736851</v>
      </c>
      <c r="N34" s="16">
        <f t="shared" si="3"/>
        <v>127.85087719298251</v>
      </c>
      <c r="O34" s="18">
        <f t="shared" si="4"/>
        <v>0</v>
      </c>
      <c r="P34" s="19">
        <f t="shared" si="5"/>
        <v>-5.4824561403508341</v>
      </c>
      <c r="Q34" s="20">
        <f t="shared" si="6"/>
        <v>0.9588815789473687</v>
      </c>
      <c r="R34" s="170"/>
      <c r="S34" s="27">
        <v>0.32916666666666661</v>
      </c>
      <c r="T34" s="27">
        <v>0.38194444444444436</v>
      </c>
      <c r="U34" s="4">
        <f t="shared" si="30"/>
        <v>7.9999999999999716</v>
      </c>
      <c r="V34" s="21">
        <f t="shared" si="29"/>
        <v>75.999999999999972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-98.684210526314928</v>
      </c>
      <c r="AF34" s="20">
        <f t="shared" si="9"/>
        <v>0.95888157894736881</v>
      </c>
      <c r="AG34" s="170"/>
    </row>
    <row r="35" spans="1:33">
      <c r="A35" s="189" t="s">
        <v>1587</v>
      </c>
      <c r="B35" s="35" t="s">
        <v>97</v>
      </c>
      <c r="C35" s="163" t="s">
        <v>304</v>
      </c>
      <c r="D35" s="163"/>
      <c r="E35" s="35">
        <v>22.69</v>
      </c>
      <c r="F35" s="4">
        <v>6388</v>
      </c>
      <c r="G35" s="4">
        <f t="shared" si="27"/>
        <v>144943.72</v>
      </c>
      <c r="H35" s="21" t="s">
        <v>133</v>
      </c>
      <c r="I35" s="15">
        <v>15</v>
      </c>
      <c r="J35" s="17">
        <v>2400</v>
      </c>
      <c r="K35" s="16">
        <f t="shared" si="1"/>
        <v>160</v>
      </c>
      <c r="L35" s="15">
        <v>15</v>
      </c>
      <c r="M35" s="17">
        <f t="shared" si="28"/>
        <v>2295.0898203592815</v>
      </c>
      <c r="N35" s="16">
        <f t="shared" si="3"/>
        <v>153.00598802395209</v>
      </c>
      <c r="O35" s="18">
        <f t="shared" si="4"/>
        <v>0</v>
      </c>
      <c r="P35" s="19">
        <f t="shared" si="5"/>
        <v>-6.9940119760479149</v>
      </c>
      <c r="Q35" s="20">
        <f t="shared" si="6"/>
        <v>0.95628742514970055</v>
      </c>
      <c r="R35" s="170"/>
      <c r="S35" s="27">
        <v>0.38611111111111102</v>
      </c>
      <c r="T35" s="27">
        <v>0.50208333333333321</v>
      </c>
      <c r="U35" s="4">
        <f t="shared" si="30"/>
        <v>5.9999999999999787</v>
      </c>
      <c r="V35" s="21">
        <f t="shared" si="29"/>
        <v>166.99999999999997</v>
      </c>
      <c r="W35" s="22">
        <f>T35</f>
        <v>0.50208333333333321</v>
      </c>
      <c r="X35" s="22">
        <f>S36</f>
        <v>0.54236111111111096</v>
      </c>
      <c r="Y35" s="22"/>
      <c r="Z35" s="22"/>
      <c r="AA35" s="162"/>
      <c r="AB35" s="162"/>
      <c r="AC35" s="24"/>
      <c r="AD35" s="24"/>
      <c r="AE35" s="18">
        <f t="shared" si="8"/>
        <v>-104.91017964071852</v>
      </c>
      <c r="AF35" s="20">
        <f t="shared" si="9"/>
        <v>0.95628742514970067</v>
      </c>
      <c r="AG35" s="170"/>
    </row>
    <row r="36" spans="1:33">
      <c r="A36" s="189" t="s">
        <v>1587</v>
      </c>
      <c r="B36" s="35" t="s">
        <v>97</v>
      </c>
      <c r="C36" s="163" t="s">
        <v>105</v>
      </c>
      <c r="D36" s="163"/>
      <c r="E36" s="35">
        <v>26.39</v>
      </c>
      <c r="F36" s="4">
        <v>2074</v>
      </c>
      <c r="G36" s="4">
        <f t="shared" si="27"/>
        <v>54732.86</v>
      </c>
      <c r="H36" s="21" t="s">
        <v>133</v>
      </c>
      <c r="I36" s="15">
        <v>19</v>
      </c>
      <c r="J36" s="17">
        <v>2400</v>
      </c>
      <c r="K36" s="16">
        <f t="shared" si="1"/>
        <v>126.31578947368421</v>
      </c>
      <c r="L36" s="15">
        <v>19</v>
      </c>
      <c r="M36" s="17">
        <f t="shared" si="28"/>
        <v>2304.4444444444457</v>
      </c>
      <c r="N36" s="16">
        <f t="shared" si="3"/>
        <v>121.2865497076024</v>
      </c>
      <c r="O36" s="18">
        <f t="shared" si="4"/>
        <v>0</v>
      </c>
      <c r="P36" s="19">
        <f t="shared" si="5"/>
        <v>-5.0292397660818011</v>
      </c>
      <c r="Q36" s="20">
        <f t="shared" si="6"/>
        <v>0.9601851851851857</v>
      </c>
      <c r="R36" s="170"/>
      <c r="S36" s="27">
        <v>0.54236111111111096</v>
      </c>
      <c r="T36" s="27">
        <v>0.57986111111111094</v>
      </c>
      <c r="U36" s="4">
        <f t="shared" si="30"/>
        <v>57.999999999999957</v>
      </c>
      <c r="V36" s="21">
        <f t="shared" si="29"/>
        <v>53.999999999999972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-95.555555555554292</v>
      </c>
      <c r="AF36" s="20">
        <f t="shared" si="9"/>
        <v>0.9601851851851857</v>
      </c>
      <c r="AG36" s="170"/>
    </row>
    <row r="37" spans="1:33">
      <c r="A37" s="189" t="s">
        <v>1587</v>
      </c>
      <c r="B37" s="35" t="s">
        <v>97</v>
      </c>
      <c r="C37" s="163" t="s">
        <v>103</v>
      </c>
      <c r="D37" s="163"/>
      <c r="E37" s="35">
        <v>26.2</v>
      </c>
      <c r="F37" s="4">
        <v>2566</v>
      </c>
      <c r="G37" s="4">
        <f t="shared" si="27"/>
        <v>67229.2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2297.9104477611909</v>
      </c>
      <c r="N37" s="16">
        <f t="shared" si="3"/>
        <v>127.66169154228838</v>
      </c>
      <c r="O37" s="18">
        <f t="shared" si="4"/>
        <v>0</v>
      </c>
      <c r="P37" s="19">
        <f t="shared" si="5"/>
        <v>-5.6716417910449621</v>
      </c>
      <c r="Q37" s="20">
        <f t="shared" si="6"/>
        <v>0.95746268656716282</v>
      </c>
      <c r="R37" s="170"/>
      <c r="S37" s="27">
        <v>0.58333333333333315</v>
      </c>
      <c r="T37" s="27">
        <v>0.62986111111111098</v>
      </c>
      <c r="U37" s="4">
        <f t="shared" si="30"/>
        <v>4.9999999999999822</v>
      </c>
      <c r="V37" s="21">
        <f t="shared" si="29"/>
        <v>67.000000000000085</v>
      </c>
      <c r="W37" s="22"/>
      <c r="X37" s="22"/>
      <c r="Y37" s="25"/>
      <c r="Z37" s="25"/>
      <c r="AA37" s="176"/>
      <c r="AB37" s="177"/>
      <c r="AC37" s="24"/>
      <c r="AD37" s="24"/>
      <c r="AE37" s="18">
        <f t="shared" si="8"/>
        <v>-102.08955223880912</v>
      </c>
      <c r="AF37" s="20">
        <f t="shared" si="9"/>
        <v>0.95746268656716282</v>
      </c>
      <c r="AG37" s="170"/>
    </row>
    <row r="38" spans="1:33">
      <c r="A38" s="189" t="s">
        <v>1587</v>
      </c>
      <c r="B38" s="16" t="s">
        <v>1583</v>
      </c>
      <c r="C38" s="171"/>
      <c r="D38" s="171"/>
      <c r="E38" s="36"/>
      <c r="F38" s="16"/>
      <c r="G38" s="16"/>
      <c r="H38" s="4"/>
      <c r="I38" s="29">
        <v>17.857142857142858</v>
      </c>
      <c r="J38" s="17">
        <v>2400</v>
      </c>
      <c r="K38" s="16">
        <f t="shared" si="1"/>
        <v>134.4</v>
      </c>
      <c r="L38" s="29">
        <v>17.857142857142858</v>
      </c>
      <c r="M38" s="17">
        <f>AVERAGE(M31:M37)</f>
        <v>2295.2953215485427</v>
      </c>
      <c r="N38" s="16">
        <f t="shared" si="3"/>
        <v>128.53653800671839</v>
      </c>
      <c r="O38" s="18">
        <f t="shared" si="4"/>
        <v>0</v>
      </c>
      <c r="P38" s="19">
        <f t="shared" si="5"/>
        <v>-5.8634619932816179</v>
      </c>
      <c r="Q38" s="20">
        <f t="shared" si="6"/>
        <v>0.95637305064522604</v>
      </c>
      <c r="R38" s="170"/>
      <c r="S38" s="27"/>
      <c r="T38" s="27"/>
      <c r="U38" s="16"/>
      <c r="V38" s="21"/>
      <c r="W38" s="16"/>
      <c r="X38" s="16"/>
      <c r="Y38" s="30">
        <f>SUM(Y31:Y37)</f>
        <v>0</v>
      </c>
      <c r="Z38" s="30">
        <f>SUM(Z31:Z37)</f>
        <v>0</v>
      </c>
      <c r="AA38" s="166"/>
      <c r="AB38" s="166"/>
      <c r="AC38" s="30">
        <v>7</v>
      </c>
      <c r="AD38" s="30">
        <f>SUM(AD31:AD37)</f>
        <v>0</v>
      </c>
      <c r="AE38" s="18">
        <f t="shared" si="8"/>
        <v>-104.70467845145731</v>
      </c>
      <c r="AF38" s="20">
        <f t="shared" si="9"/>
        <v>0.95637305064522615</v>
      </c>
      <c r="AG38" s="170"/>
    </row>
    <row r="39" spans="1:33" ht="15.75" customHeight="1">
      <c r="A39" s="182" t="s">
        <v>1588</v>
      </c>
      <c r="B39" s="35" t="s">
        <v>108</v>
      </c>
      <c r="C39" s="174" t="s">
        <v>1514</v>
      </c>
      <c r="D39" s="175"/>
      <c r="E39" s="35">
        <v>32.82</v>
      </c>
      <c r="F39" s="4">
        <v>6222</v>
      </c>
      <c r="G39" s="4">
        <f t="shared" ref="G39:G46" si="31">E39*F39</f>
        <v>204206.04</v>
      </c>
      <c r="H39" s="21" t="s">
        <v>133</v>
      </c>
      <c r="I39" s="15">
        <v>8</v>
      </c>
      <c r="J39" s="17">
        <v>3000</v>
      </c>
      <c r="K39" s="16">
        <f t="shared" si="1"/>
        <v>375</v>
      </c>
      <c r="L39" s="15">
        <v>8</v>
      </c>
      <c r="M39" s="17">
        <f t="shared" ref="M39:M46" si="32">F39/V39*60</f>
        <v>2871.6923076923076</v>
      </c>
      <c r="N39" s="17">
        <f t="shared" si="3"/>
        <v>358.96153846153845</v>
      </c>
      <c r="O39" s="18">
        <f t="shared" si="4"/>
        <v>0</v>
      </c>
      <c r="P39" s="19">
        <f t="shared" si="5"/>
        <v>-16.038461538461547</v>
      </c>
      <c r="Q39" s="20">
        <f t="shared" si="6"/>
        <v>0.95723076923076922</v>
      </c>
      <c r="R39" s="185">
        <f>Q47</f>
        <v>0.95634503224196177</v>
      </c>
      <c r="S39" s="27">
        <v>8.3333333333333329E-2</v>
      </c>
      <c r="T39" s="27">
        <v>0.1736111111111111</v>
      </c>
      <c r="U39" s="27"/>
      <c r="V39" s="21">
        <f t="shared" ref="V39:V46" si="33">(T39-S39)*24*60</f>
        <v>130</v>
      </c>
      <c r="W39" s="22"/>
      <c r="X39" s="22"/>
      <c r="Y39" s="25"/>
      <c r="Z39" s="25"/>
      <c r="AA39" s="176"/>
      <c r="AB39" s="177"/>
      <c r="AC39" s="24">
        <v>8</v>
      </c>
      <c r="AD39" s="24"/>
      <c r="AE39" s="18">
        <f t="shared" si="8"/>
        <v>-128.30769230769238</v>
      </c>
      <c r="AF39" s="20">
        <f t="shared" si="9"/>
        <v>0.95723076923076922</v>
      </c>
      <c r="AG39" s="185">
        <f>AF47</f>
        <v>0.95634503224196188</v>
      </c>
    </row>
    <row r="40" spans="1:33" ht="15.75" customHeight="1">
      <c r="A40" s="183" t="s">
        <v>67</v>
      </c>
      <c r="B40" s="35" t="s">
        <v>108</v>
      </c>
      <c r="C40" s="174" t="s">
        <v>109</v>
      </c>
      <c r="D40" s="175"/>
      <c r="E40" s="35">
        <v>34.36</v>
      </c>
      <c r="F40" s="4">
        <v>2100</v>
      </c>
      <c r="G40" s="4">
        <f t="shared" si="31"/>
        <v>72156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2863.6363636363635</v>
      </c>
      <c r="N40" s="17">
        <f t="shared" si="3"/>
        <v>286.36363636363637</v>
      </c>
      <c r="O40" s="18">
        <f t="shared" si="4"/>
        <v>0</v>
      </c>
      <c r="P40" s="19">
        <f t="shared" si="5"/>
        <v>-13.636363636363626</v>
      </c>
      <c r="Q40" s="20">
        <f t="shared" si="6"/>
        <v>0.95454545454545459</v>
      </c>
      <c r="R40" s="186"/>
      <c r="S40" s="27">
        <v>0.17847222222222223</v>
      </c>
      <c r="T40" s="27">
        <v>0.20902777777777778</v>
      </c>
      <c r="U40" s="4">
        <f t="shared" ref="U40:U46" si="34">(S40-T39)*24*60</f>
        <v>7.0000000000000151</v>
      </c>
      <c r="V40" s="21">
        <f t="shared" si="33"/>
        <v>44</v>
      </c>
      <c r="W40" s="22">
        <f>T40</f>
        <v>0.20902777777777778</v>
      </c>
      <c r="X40" s="22">
        <f>S41</f>
        <v>0.22916666666666669</v>
      </c>
      <c r="Y40" s="25"/>
      <c r="Z40" s="25"/>
      <c r="AA40" s="176"/>
      <c r="AB40" s="177"/>
      <c r="AC40" s="24"/>
      <c r="AD40" s="24"/>
      <c r="AE40" s="18">
        <f t="shared" si="8"/>
        <v>-136.36363636363649</v>
      </c>
      <c r="AF40" s="20">
        <f t="shared" si="9"/>
        <v>0.95454545454545447</v>
      </c>
      <c r="AG40" s="186"/>
    </row>
    <row r="41" spans="1:33" ht="15.75" customHeight="1">
      <c r="A41" s="183" t="s">
        <v>1589</v>
      </c>
      <c r="B41" s="35" t="s">
        <v>108</v>
      </c>
      <c r="C41" s="174" t="s">
        <v>110</v>
      </c>
      <c r="D41" s="175"/>
      <c r="E41" s="35">
        <v>26.78</v>
      </c>
      <c r="F41" s="4">
        <v>3009</v>
      </c>
      <c r="G41" s="4">
        <f t="shared" si="31"/>
        <v>80581.02</v>
      </c>
      <c r="H41" s="21" t="s">
        <v>133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2865.7142857142853</v>
      </c>
      <c r="N41" s="17">
        <f t="shared" si="3"/>
        <v>286.57142857142856</v>
      </c>
      <c r="O41" s="18">
        <f t="shared" si="4"/>
        <v>0</v>
      </c>
      <c r="P41" s="19">
        <f t="shared" si="5"/>
        <v>-13.428571428571445</v>
      </c>
      <c r="Q41" s="20">
        <f t="shared" si="6"/>
        <v>0.95523809523809522</v>
      </c>
      <c r="R41" s="186"/>
      <c r="S41" s="27">
        <v>0.22916666666666669</v>
      </c>
      <c r="T41" s="27">
        <v>0.2729166666666667</v>
      </c>
      <c r="U41" s="4">
        <f t="shared" si="34"/>
        <v>29.000000000000018</v>
      </c>
      <c r="V41" s="21">
        <f t="shared" si="33"/>
        <v>63.000000000000014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-134.28571428571468</v>
      </c>
      <c r="AF41" s="20">
        <f t="shared" si="9"/>
        <v>0.95523809523809511</v>
      </c>
      <c r="AG41" s="186"/>
    </row>
    <row r="42" spans="1:33" ht="15.75" customHeight="1">
      <c r="A42" s="183" t="s">
        <v>1589</v>
      </c>
      <c r="B42" s="35" t="s">
        <v>108</v>
      </c>
      <c r="C42" s="174" t="s">
        <v>111</v>
      </c>
      <c r="D42" s="175"/>
      <c r="E42" s="35">
        <v>21.13</v>
      </c>
      <c r="F42" s="4">
        <v>5165</v>
      </c>
      <c r="G42" s="4">
        <f t="shared" si="31"/>
        <v>109136.45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2869.4444444444443</v>
      </c>
      <c r="N42" s="17">
        <f t="shared" si="3"/>
        <v>286.94444444444446</v>
      </c>
      <c r="O42" s="18">
        <f t="shared" si="4"/>
        <v>0</v>
      </c>
      <c r="P42" s="19">
        <f t="shared" si="5"/>
        <v>-13.055555555555543</v>
      </c>
      <c r="Q42" s="20">
        <f t="shared" si="6"/>
        <v>0.95648148148148149</v>
      </c>
      <c r="R42" s="186"/>
      <c r="S42" s="27">
        <v>0.27847222222222223</v>
      </c>
      <c r="T42" s="27">
        <v>0.35347222222222224</v>
      </c>
      <c r="U42" s="4">
        <f t="shared" si="34"/>
        <v>7.9999999999999716</v>
      </c>
      <c r="V42" s="21">
        <f t="shared" si="33"/>
        <v>108.00000000000001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-130.55555555555566</v>
      </c>
      <c r="AF42" s="20">
        <f t="shared" si="9"/>
        <v>0.95648148148148149</v>
      </c>
      <c r="AG42" s="186"/>
    </row>
    <row r="43" spans="1:33" ht="15.75" customHeight="1">
      <c r="A43" s="183" t="s">
        <v>1589</v>
      </c>
      <c r="B43" s="35" t="s">
        <v>108</v>
      </c>
      <c r="C43" s="174" t="s">
        <v>112</v>
      </c>
      <c r="D43" s="175"/>
      <c r="E43" s="35">
        <v>27.17</v>
      </c>
      <c r="F43" s="4">
        <v>4300</v>
      </c>
      <c r="G43" s="4">
        <f t="shared" si="31"/>
        <v>116831.00000000001</v>
      </c>
      <c r="H43" s="21">
        <v>2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2866.6666666666665</v>
      </c>
      <c r="N43" s="17">
        <f t="shared" si="3"/>
        <v>286.66666666666663</v>
      </c>
      <c r="O43" s="18">
        <f t="shared" si="4"/>
        <v>0</v>
      </c>
      <c r="P43" s="19">
        <f t="shared" si="5"/>
        <v>-13.333333333333371</v>
      </c>
      <c r="Q43" s="20">
        <f t="shared" si="6"/>
        <v>0.95555555555555538</v>
      </c>
      <c r="R43" s="186"/>
      <c r="S43" s="27">
        <v>0.35694444444444445</v>
      </c>
      <c r="T43" s="27">
        <v>0.41944444444444445</v>
      </c>
      <c r="U43" s="4">
        <f t="shared" si="34"/>
        <v>4.9999999999999822</v>
      </c>
      <c r="V43" s="21">
        <f t="shared" si="33"/>
        <v>90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-133.33333333333348</v>
      </c>
      <c r="AF43" s="20">
        <f t="shared" si="9"/>
        <v>0.95555555555555549</v>
      </c>
      <c r="AG43" s="186"/>
    </row>
    <row r="44" spans="1:33" ht="15.75" customHeight="1">
      <c r="A44" s="183" t="s">
        <v>1589</v>
      </c>
      <c r="B44" s="35" t="s">
        <v>108</v>
      </c>
      <c r="C44" s="174" t="s">
        <v>305</v>
      </c>
      <c r="D44" s="175"/>
      <c r="E44" s="35">
        <v>28.3</v>
      </c>
      <c r="F44" s="4">
        <v>2718</v>
      </c>
      <c r="G44" s="4">
        <f t="shared" si="31"/>
        <v>76919.400000000009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2861.0526315789457</v>
      </c>
      <c r="N44" s="17">
        <f t="shared" si="3"/>
        <v>357.63157894736821</v>
      </c>
      <c r="O44" s="18">
        <f t="shared" si="4"/>
        <v>0</v>
      </c>
      <c r="P44" s="19">
        <f t="shared" si="5"/>
        <v>-17.368421052631788</v>
      </c>
      <c r="Q44" s="20">
        <f t="shared" si="6"/>
        <v>0.95368421052631525</v>
      </c>
      <c r="R44" s="186"/>
      <c r="S44" s="27">
        <v>0.42499999999999999</v>
      </c>
      <c r="T44" s="27">
        <v>0.46458333333333335</v>
      </c>
      <c r="U44" s="4">
        <f t="shared" si="34"/>
        <v>7.9999999999999716</v>
      </c>
      <c r="V44" s="21">
        <f t="shared" si="33"/>
        <v>57.000000000000036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-138.94736842105431</v>
      </c>
      <c r="AF44" s="20">
        <f t="shared" si="9"/>
        <v>0.95368421052631525</v>
      </c>
      <c r="AG44" s="186"/>
    </row>
    <row r="45" spans="1:33" ht="15.75" customHeight="1">
      <c r="A45" s="183" t="s">
        <v>1589</v>
      </c>
      <c r="B45" s="35" t="s">
        <v>108</v>
      </c>
      <c r="C45" s="174" t="s">
        <v>113</v>
      </c>
      <c r="D45" s="175"/>
      <c r="E45" s="35">
        <v>35.869999999999997</v>
      </c>
      <c r="F45" s="4">
        <v>3853</v>
      </c>
      <c r="G45" s="4">
        <f t="shared" si="31"/>
        <v>138207.10999999999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2854.074074074073</v>
      </c>
      <c r="N45" s="17">
        <f t="shared" si="3"/>
        <v>317.11934156378589</v>
      </c>
      <c r="O45" s="18">
        <f t="shared" si="4"/>
        <v>0</v>
      </c>
      <c r="P45" s="19">
        <f t="shared" si="5"/>
        <v>-16.21399176954742</v>
      </c>
      <c r="Q45" s="20">
        <f t="shared" si="6"/>
        <v>0.95135802469135777</v>
      </c>
      <c r="R45" s="186"/>
      <c r="S45" s="27">
        <v>0.47013888888888888</v>
      </c>
      <c r="T45" s="27">
        <v>0.52638888888888891</v>
      </c>
      <c r="U45" s="4">
        <f t="shared" si="34"/>
        <v>7.9999999999999716</v>
      </c>
      <c r="V45" s="21">
        <f t="shared" si="33"/>
        <v>81.000000000000028</v>
      </c>
      <c r="W45" s="22">
        <f>T45</f>
        <v>0.52638888888888891</v>
      </c>
      <c r="X45" s="22">
        <f>S46</f>
        <v>0.56666666666666665</v>
      </c>
      <c r="Y45" s="25"/>
      <c r="Z45" s="25"/>
      <c r="AA45" s="176"/>
      <c r="AB45" s="177"/>
      <c r="AC45" s="24"/>
      <c r="AD45" s="24"/>
      <c r="AE45" s="18">
        <f t="shared" si="8"/>
        <v>-145.925925925927</v>
      </c>
      <c r="AF45" s="20">
        <f t="shared" si="9"/>
        <v>0.95135802469135766</v>
      </c>
      <c r="AG45" s="186"/>
    </row>
    <row r="46" spans="1:33" ht="15.75" customHeight="1">
      <c r="A46" s="183" t="s">
        <v>1589</v>
      </c>
      <c r="B46" s="35" t="s">
        <v>108</v>
      </c>
      <c r="C46" s="174" t="s">
        <v>112</v>
      </c>
      <c r="D46" s="175"/>
      <c r="E46" s="35">
        <v>27.17</v>
      </c>
      <c r="F46" s="4">
        <v>2320</v>
      </c>
      <c r="G46" s="4">
        <f t="shared" si="31"/>
        <v>63034.400000000001</v>
      </c>
      <c r="H46" s="21" t="s">
        <v>133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2900.0000000000009</v>
      </c>
      <c r="N46" s="17">
        <f t="shared" si="3"/>
        <v>290.00000000000011</v>
      </c>
      <c r="O46" s="18">
        <f t="shared" si="4"/>
        <v>0</v>
      </c>
      <c r="P46" s="19">
        <f t="shared" si="5"/>
        <v>-9.9999999999998863</v>
      </c>
      <c r="Q46" s="20">
        <f t="shared" si="6"/>
        <v>0.96666666666666701</v>
      </c>
      <c r="R46" s="186"/>
      <c r="S46" s="27">
        <v>0.56666666666666665</v>
      </c>
      <c r="T46" s="27">
        <v>0.6</v>
      </c>
      <c r="U46" s="4">
        <f t="shared" si="34"/>
        <v>57.999999999999957</v>
      </c>
      <c r="V46" s="21">
        <f t="shared" si="33"/>
        <v>47.999999999999986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-99.999999999999091</v>
      </c>
      <c r="AF46" s="20">
        <f t="shared" si="9"/>
        <v>0.96666666666666701</v>
      </c>
      <c r="AG46" s="186"/>
    </row>
    <row r="47" spans="1:33" ht="15.75" customHeight="1">
      <c r="A47" s="184" t="s">
        <v>1589</v>
      </c>
      <c r="B47" s="35" t="s">
        <v>1590</v>
      </c>
      <c r="C47" s="164"/>
      <c r="D47" s="165"/>
      <c r="E47" s="37"/>
      <c r="F47" s="4"/>
      <c r="G47" s="4"/>
      <c r="H47" s="4"/>
      <c r="I47" s="29">
        <v>9.375</v>
      </c>
      <c r="J47" s="17">
        <v>3000</v>
      </c>
      <c r="K47" s="16">
        <f t="shared" si="1"/>
        <v>320</v>
      </c>
      <c r="L47" s="29">
        <v>9.375</v>
      </c>
      <c r="M47" s="17">
        <f>AVERAGE(M39:M46)</f>
        <v>2869.0350967258855</v>
      </c>
      <c r="N47" s="16">
        <f t="shared" si="3"/>
        <v>306.03041031742777</v>
      </c>
      <c r="O47" s="18">
        <f t="shared" si="4"/>
        <v>0</v>
      </c>
      <c r="P47" s="19">
        <f t="shared" si="5"/>
        <v>-13.969589682572234</v>
      </c>
      <c r="Q47" s="20">
        <f t="shared" si="6"/>
        <v>0.95634503224196177</v>
      </c>
      <c r="R47" s="187"/>
      <c r="S47" s="27"/>
      <c r="T47" s="27"/>
      <c r="U47" s="4"/>
      <c r="V47" s="21"/>
      <c r="W47" s="22"/>
      <c r="X47" s="22"/>
      <c r="Y47" s="30">
        <f>SUM(Y39:Y46)</f>
        <v>0</v>
      </c>
      <c r="Z47" s="30">
        <f>SUM(Z39:Z46)</f>
        <v>0</v>
      </c>
      <c r="AA47" s="180"/>
      <c r="AB47" s="181"/>
      <c r="AC47" s="30">
        <v>8</v>
      </c>
      <c r="AD47" s="30">
        <f>SUM(AD39:AD46)</f>
        <v>0</v>
      </c>
      <c r="AE47" s="18">
        <f t="shared" si="8"/>
        <v>-130.96490327411448</v>
      </c>
      <c r="AF47" s="20">
        <f t="shared" si="9"/>
        <v>0.95634503224196188</v>
      </c>
      <c r="AG47" s="187"/>
    </row>
    <row r="48" spans="1:33" ht="15.75" customHeight="1">
      <c r="A48" s="178" t="s">
        <v>1591</v>
      </c>
      <c r="B48" s="35" t="s">
        <v>84</v>
      </c>
      <c r="C48" s="163" t="s">
        <v>114</v>
      </c>
      <c r="D48" s="163"/>
      <c r="E48" s="35">
        <v>46</v>
      </c>
      <c r="F48" s="38">
        <v>2087</v>
      </c>
      <c r="G48" s="4">
        <f t="shared" ref="G48:G55" si="35">E48*F48</f>
        <v>96002</v>
      </c>
      <c r="H48" s="21" t="s">
        <v>133</v>
      </c>
      <c r="I48" s="15">
        <v>17</v>
      </c>
      <c r="J48" s="17">
        <v>2000</v>
      </c>
      <c r="K48" s="16">
        <f t="shared" si="1"/>
        <v>117.64705882352941</v>
      </c>
      <c r="L48" s="15">
        <v>17</v>
      </c>
      <c r="M48" s="17">
        <f t="shared" ref="M48" si="36">F48/V48*60</f>
        <v>1926.4615384615395</v>
      </c>
      <c r="N48" s="17">
        <f t="shared" si="3"/>
        <v>113.32126696832586</v>
      </c>
      <c r="O48" s="18">
        <f t="shared" si="4"/>
        <v>0</v>
      </c>
      <c r="P48" s="19">
        <f t="shared" si="5"/>
        <v>-4.3257918552035477</v>
      </c>
      <c r="Q48" s="20">
        <f t="shared" si="6"/>
        <v>0.96323076923076989</v>
      </c>
      <c r="R48" s="170">
        <f>Q56</f>
        <v>0.95267465215893332</v>
      </c>
      <c r="S48" s="27">
        <v>0.20833333333333334</v>
      </c>
      <c r="T48" s="27">
        <v>0.25347222222222221</v>
      </c>
      <c r="U48" s="27"/>
      <c r="V48" s="21">
        <f t="shared" ref="V48:V55" si="37">(T48-S48)*24*60</f>
        <v>64.999999999999972</v>
      </c>
      <c r="W48" s="27"/>
      <c r="X48" s="27"/>
      <c r="Y48" s="27"/>
      <c r="Z48" s="27"/>
      <c r="AA48" s="162"/>
      <c r="AB48" s="162"/>
      <c r="AC48" s="24">
        <v>8</v>
      </c>
      <c r="AD48" s="24"/>
      <c r="AE48" s="18">
        <f t="shared" si="8"/>
        <v>-73.538461538460524</v>
      </c>
      <c r="AF48" s="20">
        <f t="shared" si="9"/>
        <v>0.96323076923076978</v>
      </c>
      <c r="AG48" s="170">
        <f>AF56</f>
        <v>0.95267465215893321</v>
      </c>
    </row>
    <row r="49" spans="1:33" ht="15.75" customHeight="1">
      <c r="A49" s="178" t="s">
        <v>1592</v>
      </c>
      <c r="B49" s="35" t="s">
        <v>78</v>
      </c>
      <c r="C49" s="163" t="s">
        <v>115</v>
      </c>
      <c r="D49" s="163"/>
      <c r="E49" s="35">
        <v>56.43</v>
      </c>
      <c r="F49" s="38">
        <v>1455</v>
      </c>
      <c r="G49" s="4">
        <f t="shared" si="35"/>
        <v>82105.649999999994</v>
      </c>
      <c r="H49" s="21" t="s">
        <v>133</v>
      </c>
      <c r="I49" s="15">
        <v>22</v>
      </c>
      <c r="J49" s="17">
        <v>2000</v>
      </c>
      <c r="K49" s="16">
        <f t="shared" si="1"/>
        <v>90.909090909090907</v>
      </c>
      <c r="L49" s="15">
        <v>22</v>
      </c>
      <c r="M49" s="17">
        <f>F49/V49*60</f>
        <v>1897.8260869565217</v>
      </c>
      <c r="N49" s="17">
        <f t="shared" si="3"/>
        <v>86.264822134387359</v>
      </c>
      <c r="O49" s="18">
        <f t="shared" si="4"/>
        <v>0</v>
      </c>
      <c r="P49" s="19">
        <f t="shared" si="5"/>
        <v>-4.6442687747035478</v>
      </c>
      <c r="Q49" s="20">
        <f t="shared" si="6"/>
        <v>0.948913043478261</v>
      </c>
      <c r="R49" s="170"/>
      <c r="S49" s="27">
        <v>0.25694444444444442</v>
      </c>
      <c r="T49" s="27">
        <v>0.28888888888888886</v>
      </c>
      <c r="U49" s="4">
        <f t="shared" ref="U49:U55" si="38">IF(S49=TIME(17,0,0),"",(S49-T48)*24*60)</f>
        <v>4.9999999999999822</v>
      </c>
      <c r="V49" s="21">
        <f t="shared" si="37"/>
        <v>46</v>
      </c>
      <c r="W49" s="22"/>
      <c r="X49" s="22"/>
      <c r="Y49" s="22"/>
      <c r="Z49" s="22"/>
      <c r="AA49" s="162"/>
      <c r="AB49" s="162"/>
      <c r="AC49" s="24"/>
      <c r="AD49" s="24"/>
      <c r="AE49" s="18">
        <f t="shared" si="8"/>
        <v>-102.17391304347825</v>
      </c>
      <c r="AF49" s="20">
        <f t="shared" si="9"/>
        <v>0.94891304347826089</v>
      </c>
      <c r="AG49" s="170"/>
    </row>
    <row r="50" spans="1:33" ht="15.75" customHeight="1">
      <c r="A50" s="178" t="s">
        <v>1592</v>
      </c>
      <c r="B50" s="35" t="s">
        <v>78</v>
      </c>
      <c r="C50" s="174" t="s">
        <v>116</v>
      </c>
      <c r="D50" s="175"/>
      <c r="E50" s="35">
        <v>51.75</v>
      </c>
      <c r="F50" s="38">
        <v>1092</v>
      </c>
      <c r="G50" s="4">
        <f t="shared" si="35"/>
        <v>56511</v>
      </c>
      <c r="H50" s="21" t="s">
        <v>133</v>
      </c>
      <c r="I50" s="15">
        <v>25</v>
      </c>
      <c r="J50" s="17">
        <v>2000</v>
      </c>
      <c r="K50" s="16">
        <f t="shared" si="1"/>
        <v>80</v>
      </c>
      <c r="L50" s="15">
        <v>25</v>
      </c>
      <c r="M50" s="17">
        <f t="shared" ref="M50:M55" si="39">F50/V50*60</f>
        <v>1819.9999999999986</v>
      </c>
      <c r="N50" s="17">
        <f t="shared" si="3"/>
        <v>72.79999999999994</v>
      </c>
      <c r="O50" s="18">
        <f t="shared" si="4"/>
        <v>0</v>
      </c>
      <c r="P50" s="19">
        <f t="shared" si="5"/>
        <v>-7.2000000000000597</v>
      </c>
      <c r="Q50" s="20">
        <f t="shared" si="6"/>
        <v>0.90999999999999925</v>
      </c>
      <c r="R50" s="170"/>
      <c r="S50" s="27">
        <v>0.29374999999999996</v>
      </c>
      <c r="T50" s="27">
        <v>0.31874999999999998</v>
      </c>
      <c r="U50" s="4">
        <f t="shared" si="38"/>
        <v>6.9999999999999751</v>
      </c>
      <c r="V50" s="21">
        <f t="shared" si="37"/>
        <v>36.000000000000028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-180.00000000000136</v>
      </c>
      <c r="AF50" s="20">
        <f t="shared" si="9"/>
        <v>0.90999999999999936</v>
      </c>
      <c r="AG50" s="170"/>
    </row>
    <row r="51" spans="1:33" ht="15.75" customHeight="1">
      <c r="A51" s="178" t="s">
        <v>73</v>
      </c>
      <c r="B51" s="35" t="s">
        <v>78</v>
      </c>
      <c r="C51" s="39" t="s">
        <v>117</v>
      </c>
      <c r="D51" s="40"/>
      <c r="E51" s="35">
        <v>54.09</v>
      </c>
      <c r="F51" s="38">
        <v>990</v>
      </c>
      <c r="G51" s="4">
        <f t="shared" si="35"/>
        <v>53549.100000000006</v>
      </c>
      <c r="H51" s="21" t="s">
        <v>133</v>
      </c>
      <c r="I51" s="15">
        <v>19</v>
      </c>
      <c r="J51" s="17">
        <v>2000</v>
      </c>
      <c r="K51" s="16">
        <f t="shared" si="1"/>
        <v>105.26315789473684</v>
      </c>
      <c r="L51" s="15">
        <v>19</v>
      </c>
      <c r="M51" s="17">
        <f t="shared" si="39"/>
        <v>1916.1290322580662</v>
      </c>
      <c r="N51" s="17">
        <f t="shared" si="3"/>
        <v>100.84889643463507</v>
      </c>
      <c r="O51" s="18">
        <f t="shared" si="4"/>
        <v>0</v>
      </c>
      <c r="P51" s="19">
        <f t="shared" si="5"/>
        <v>-4.4142614601017698</v>
      </c>
      <c r="Q51" s="20">
        <f t="shared" si="6"/>
        <v>0.95806451612903321</v>
      </c>
      <c r="R51" s="170"/>
      <c r="S51" s="27">
        <v>0.32430555555555551</v>
      </c>
      <c r="T51" s="27">
        <v>0.34583333333333327</v>
      </c>
      <c r="U51" s="4">
        <f t="shared" si="38"/>
        <v>7.9999999999999716</v>
      </c>
      <c r="V51" s="21">
        <f t="shared" si="37"/>
        <v>30.999999999999972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-83.870967741933782</v>
      </c>
      <c r="AF51" s="20">
        <f t="shared" si="9"/>
        <v>0.95806451612903309</v>
      </c>
      <c r="AG51" s="170"/>
    </row>
    <row r="52" spans="1:33" ht="15.75" customHeight="1">
      <c r="A52" s="178" t="s">
        <v>1592</v>
      </c>
      <c r="B52" s="35" t="s">
        <v>78</v>
      </c>
      <c r="C52" s="39" t="s">
        <v>118</v>
      </c>
      <c r="D52" s="40"/>
      <c r="E52" s="35">
        <v>57.73</v>
      </c>
      <c r="F52" s="38">
        <v>1099</v>
      </c>
      <c r="G52" s="4">
        <f t="shared" si="35"/>
        <v>63445.27</v>
      </c>
      <c r="H52" s="21" t="s">
        <v>133</v>
      </c>
      <c r="I52" s="15">
        <v>16</v>
      </c>
      <c r="J52" s="17">
        <v>1500</v>
      </c>
      <c r="K52" s="16">
        <f t="shared" si="1"/>
        <v>93.75</v>
      </c>
      <c r="L52" s="15">
        <v>16</v>
      </c>
      <c r="M52" s="17">
        <f t="shared" si="39"/>
        <v>1433.4782608695652</v>
      </c>
      <c r="N52" s="17">
        <f t="shared" si="3"/>
        <v>89.592391304347828</v>
      </c>
      <c r="O52" s="18">
        <f t="shared" si="4"/>
        <v>0</v>
      </c>
      <c r="P52" s="19">
        <f t="shared" si="5"/>
        <v>-4.1576086956521721</v>
      </c>
      <c r="Q52" s="20">
        <f t="shared" si="6"/>
        <v>0.95565217391304347</v>
      </c>
      <c r="R52" s="170"/>
      <c r="S52" s="27">
        <v>0.70833333333333337</v>
      </c>
      <c r="T52" s="27">
        <v>0.74027777777777781</v>
      </c>
      <c r="U52" s="4" t="str">
        <f t="shared" si="38"/>
        <v/>
      </c>
      <c r="V52" s="21">
        <f t="shared" si="37"/>
        <v>46</v>
      </c>
      <c r="W52" s="22"/>
      <c r="X52" s="22"/>
      <c r="Y52" s="25"/>
      <c r="Z52" s="25"/>
      <c r="AA52" s="162"/>
      <c r="AB52" s="162"/>
      <c r="AC52" s="24"/>
      <c r="AD52" s="24"/>
      <c r="AE52" s="18">
        <f t="shared" si="8"/>
        <v>-66.521739130434753</v>
      </c>
      <c r="AF52" s="20">
        <f t="shared" si="9"/>
        <v>0.95565217391304347</v>
      </c>
      <c r="AG52" s="170"/>
    </row>
    <row r="53" spans="1:33" ht="15.75" customHeight="1">
      <c r="A53" s="178" t="s">
        <v>73</v>
      </c>
      <c r="B53" s="35" t="s">
        <v>78</v>
      </c>
      <c r="C53" s="174" t="s">
        <v>119</v>
      </c>
      <c r="D53" s="175"/>
      <c r="E53" s="35">
        <v>54.29</v>
      </c>
      <c r="F53" s="38">
        <v>1192</v>
      </c>
      <c r="G53" s="4">
        <f t="shared" si="35"/>
        <v>64713.68</v>
      </c>
      <c r="H53" s="21" t="s">
        <v>133</v>
      </c>
      <c r="I53" s="15">
        <v>20</v>
      </c>
      <c r="J53" s="17">
        <v>2000</v>
      </c>
      <c r="K53" s="16">
        <f t="shared" si="1"/>
        <v>100</v>
      </c>
      <c r="L53" s="15">
        <v>20</v>
      </c>
      <c r="M53" s="17">
        <f t="shared" si="39"/>
        <v>1932.9729729729713</v>
      </c>
      <c r="N53" s="17">
        <f t="shared" si="3"/>
        <v>96.64864864864856</v>
      </c>
      <c r="O53" s="18">
        <f t="shared" si="4"/>
        <v>0</v>
      </c>
      <c r="P53" s="19">
        <f t="shared" si="5"/>
        <v>-3.3513513513514397</v>
      </c>
      <c r="Q53" s="20">
        <f t="shared" si="6"/>
        <v>0.96648648648648561</v>
      </c>
      <c r="R53" s="170"/>
      <c r="S53" s="27">
        <v>0.74583333333333335</v>
      </c>
      <c r="T53" s="27">
        <v>0.77152777777777781</v>
      </c>
      <c r="U53" s="4">
        <f t="shared" si="38"/>
        <v>7.9999999999999716</v>
      </c>
      <c r="V53" s="21">
        <f t="shared" si="37"/>
        <v>37.000000000000028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-67.02702702702868</v>
      </c>
      <c r="AF53" s="20">
        <f t="shared" si="9"/>
        <v>0.96648648648648561</v>
      </c>
      <c r="AG53" s="170"/>
    </row>
    <row r="54" spans="1:33" ht="15.75" customHeight="1">
      <c r="A54" s="178" t="s">
        <v>1592</v>
      </c>
      <c r="B54" s="35" t="s">
        <v>78</v>
      </c>
      <c r="C54" s="174" t="s">
        <v>120</v>
      </c>
      <c r="D54" s="175"/>
      <c r="E54" s="35">
        <v>55.56</v>
      </c>
      <c r="F54" s="38">
        <v>1825</v>
      </c>
      <c r="G54" s="4">
        <f t="shared" si="35"/>
        <v>101397</v>
      </c>
      <c r="H54" s="21" t="s">
        <v>133</v>
      </c>
      <c r="I54" s="15">
        <v>17</v>
      </c>
      <c r="J54" s="17">
        <v>2000</v>
      </c>
      <c r="K54" s="16">
        <f t="shared" si="1"/>
        <v>117.64705882352941</v>
      </c>
      <c r="L54" s="15">
        <v>17</v>
      </c>
      <c r="M54" s="17">
        <f t="shared" si="39"/>
        <v>1921.0526315789486</v>
      </c>
      <c r="N54" s="17">
        <f t="shared" si="3"/>
        <v>113.00309597523227</v>
      </c>
      <c r="O54" s="18">
        <f t="shared" si="4"/>
        <v>0</v>
      </c>
      <c r="P54" s="19">
        <f t="shared" si="5"/>
        <v>-4.6439628482971358</v>
      </c>
      <c r="Q54" s="20">
        <f t="shared" si="6"/>
        <v>0.96052631578947434</v>
      </c>
      <c r="R54" s="170"/>
      <c r="S54" s="27">
        <v>0.77500000000000002</v>
      </c>
      <c r="T54" s="27">
        <v>0.81458333333333333</v>
      </c>
      <c r="U54" s="4">
        <f t="shared" si="38"/>
        <v>4.9999999999999822</v>
      </c>
      <c r="V54" s="21">
        <f t="shared" si="37"/>
        <v>56.999999999999957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-78.947368421051351</v>
      </c>
      <c r="AF54" s="20">
        <f t="shared" si="9"/>
        <v>0.96052631578947434</v>
      </c>
      <c r="AG54" s="170"/>
    </row>
    <row r="55" spans="1:33" ht="15.75" customHeight="1">
      <c r="A55" s="178" t="s">
        <v>73</v>
      </c>
      <c r="B55" s="35" t="s">
        <v>78</v>
      </c>
      <c r="C55" s="174" t="s">
        <v>121</v>
      </c>
      <c r="D55" s="175"/>
      <c r="E55" s="35">
        <v>55.32</v>
      </c>
      <c r="F55" s="38">
        <v>1311</v>
      </c>
      <c r="G55" s="4">
        <f t="shared" si="35"/>
        <v>72524.52</v>
      </c>
      <c r="H55" s="21" t="s">
        <v>133</v>
      </c>
      <c r="I55" s="15">
        <v>15</v>
      </c>
      <c r="J55" s="17">
        <v>2000</v>
      </c>
      <c r="K55" s="16">
        <f t="shared" si="1"/>
        <v>133.33333333333334</v>
      </c>
      <c r="L55" s="15">
        <v>15</v>
      </c>
      <c r="M55" s="17">
        <f t="shared" si="39"/>
        <v>1918.5365853658532</v>
      </c>
      <c r="N55" s="17">
        <f t="shared" si="3"/>
        <v>127.9024390243902</v>
      </c>
      <c r="O55" s="18">
        <f t="shared" si="4"/>
        <v>0</v>
      </c>
      <c r="P55" s="19">
        <f t="shared" si="5"/>
        <v>-5.4308943089431381</v>
      </c>
      <c r="Q55" s="20">
        <f t="shared" si="6"/>
        <v>0.95926829268292646</v>
      </c>
      <c r="R55" s="170"/>
      <c r="S55" s="27">
        <v>0.81944444444444442</v>
      </c>
      <c r="T55" s="27">
        <v>0.84791666666666665</v>
      </c>
      <c r="U55" s="4">
        <f t="shared" si="38"/>
        <v>6.9999999999999751</v>
      </c>
      <c r="V55" s="21">
        <f t="shared" si="37"/>
        <v>41.000000000000014</v>
      </c>
      <c r="W55" s="22"/>
      <c r="X55" s="22"/>
      <c r="Y55" s="25"/>
      <c r="Z55" s="25"/>
      <c r="AA55" s="176"/>
      <c r="AB55" s="177"/>
      <c r="AC55" s="24"/>
      <c r="AD55" s="24"/>
      <c r="AE55" s="18">
        <f t="shared" si="8"/>
        <v>-81.463414634146829</v>
      </c>
      <c r="AF55" s="20">
        <f t="shared" si="9"/>
        <v>0.95926829268292657</v>
      </c>
      <c r="AG55" s="170"/>
    </row>
    <row r="56" spans="1:33">
      <c r="A56" s="179" t="s">
        <v>1592</v>
      </c>
      <c r="B56" s="35" t="s">
        <v>48</v>
      </c>
      <c r="C56" s="171"/>
      <c r="D56" s="171"/>
      <c r="E56" s="36"/>
      <c r="F56" s="16"/>
      <c r="G56" s="16"/>
      <c r="H56" s="4"/>
      <c r="I56" s="29">
        <v>18.875</v>
      </c>
      <c r="J56" s="17">
        <v>1937.5</v>
      </c>
      <c r="K56" s="16">
        <f t="shared" si="1"/>
        <v>102.64900662251655</v>
      </c>
      <c r="L56" s="29">
        <v>18.875</v>
      </c>
      <c r="M56" s="17">
        <f>AVERAGE(M48:M55)</f>
        <v>1845.8071385579331</v>
      </c>
      <c r="N56" s="16">
        <f t="shared" si="3"/>
        <v>97.791106678565995</v>
      </c>
      <c r="O56" s="18">
        <f t="shared" si="4"/>
        <v>0</v>
      </c>
      <c r="P56" s="19">
        <f t="shared" si="5"/>
        <v>-4.8578999439505566</v>
      </c>
      <c r="Q56" s="20">
        <f t="shared" si="6"/>
        <v>0.95267465215893332</v>
      </c>
      <c r="R56" s="170"/>
      <c r="S56" s="27"/>
      <c r="T56" s="27"/>
      <c r="U56" s="4"/>
      <c r="V56" s="21"/>
      <c r="W56" s="16"/>
      <c r="X56" s="16"/>
      <c r="Y56" s="30">
        <f>SUM(Y48:Y55)</f>
        <v>0</v>
      </c>
      <c r="Z56" s="30">
        <f>SUM(Z48:Z55)</f>
        <v>0</v>
      </c>
      <c r="AA56" s="166"/>
      <c r="AB56" s="166"/>
      <c r="AC56" s="30">
        <v>8</v>
      </c>
      <c r="AD56" s="30">
        <f>SUM(AD48:AD55)</f>
        <v>0</v>
      </c>
      <c r="AE56" s="18">
        <f>M56-J56</f>
        <v>-91.692861442066942</v>
      </c>
      <c r="AF56" s="20">
        <f t="shared" si="9"/>
        <v>0.95267465215893321</v>
      </c>
      <c r="AG56" s="170"/>
    </row>
    <row r="57" spans="1:33" ht="15.75" customHeight="1">
      <c r="A57" s="172" t="s">
        <v>1593</v>
      </c>
      <c r="B57" s="4" t="s">
        <v>108</v>
      </c>
      <c r="C57" s="163" t="s">
        <v>125</v>
      </c>
      <c r="D57" s="163"/>
      <c r="E57" s="35">
        <v>37.85</v>
      </c>
      <c r="F57" s="38">
        <v>1603</v>
      </c>
      <c r="G57" s="4">
        <f t="shared" ref="G57:G59" si="40">E57*F57</f>
        <v>60673.55</v>
      </c>
      <c r="H57" s="21" t="s">
        <v>133</v>
      </c>
      <c r="I57" s="15">
        <v>12</v>
      </c>
      <c r="J57" s="17">
        <v>2000</v>
      </c>
      <c r="K57" s="16">
        <f t="shared" si="1"/>
        <v>166.66666666666666</v>
      </c>
      <c r="L57" s="15">
        <v>12</v>
      </c>
      <c r="M57" s="17">
        <f t="shared" ref="M57:M59" si="41">F57/V57*60</f>
        <v>1923.5999999999992</v>
      </c>
      <c r="N57" s="16">
        <f t="shared" si="3"/>
        <v>160.29999999999993</v>
      </c>
      <c r="O57" s="18">
        <f t="shared" si="4"/>
        <v>0</v>
      </c>
      <c r="P57" s="19">
        <f t="shared" si="5"/>
        <v>-6.3666666666667311</v>
      </c>
      <c r="Q57" s="20">
        <f t="shared" si="6"/>
        <v>0.96179999999999966</v>
      </c>
      <c r="R57" s="170">
        <f>Q60</f>
        <v>0.95745000000000013</v>
      </c>
      <c r="S57" s="27">
        <v>0.20833333333333334</v>
      </c>
      <c r="T57" s="27">
        <v>0.24305555555555558</v>
      </c>
      <c r="U57" s="4"/>
      <c r="V57" s="21">
        <f t="shared" ref="V57:V59" si="42">(T57-S57)*24*60</f>
        <v>50.000000000000021</v>
      </c>
      <c r="W57" s="27"/>
      <c r="X57" s="27"/>
      <c r="Y57" s="27"/>
      <c r="Z57" s="27"/>
      <c r="AA57" s="162"/>
      <c r="AB57" s="162"/>
      <c r="AC57" s="24">
        <v>3</v>
      </c>
      <c r="AD57" s="24"/>
      <c r="AE57" s="18">
        <f t="shared" ref="AE57:AE67" si="43">M57-J57</f>
        <v>-76.400000000000773</v>
      </c>
      <c r="AF57" s="20">
        <f t="shared" si="9"/>
        <v>0.96179999999999966</v>
      </c>
      <c r="AG57" s="170">
        <f>AF60</f>
        <v>0.95745000000000013</v>
      </c>
    </row>
    <row r="58" spans="1:33" ht="15.75" customHeight="1">
      <c r="A58" s="172" t="s">
        <v>74</v>
      </c>
      <c r="B58" s="4" t="s">
        <v>108</v>
      </c>
      <c r="C58" s="163" t="s">
        <v>126</v>
      </c>
      <c r="D58" s="163"/>
      <c r="E58" s="35">
        <v>34.36</v>
      </c>
      <c r="F58" s="38">
        <v>1912</v>
      </c>
      <c r="G58" s="4">
        <f t="shared" si="40"/>
        <v>65696.319999999992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1"/>
        <v>2868.0000000000014</v>
      </c>
      <c r="N58" s="16">
        <f t="shared" si="3"/>
        <v>286.80000000000013</v>
      </c>
      <c r="O58" s="18">
        <f t="shared" si="4"/>
        <v>0</v>
      </c>
      <c r="P58" s="19">
        <f t="shared" si="5"/>
        <v>-13.199999999999875</v>
      </c>
      <c r="Q58" s="20">
        <f t="shared" si="6"/>
        <v>0.95600000000000041</v>
      </c>
      <c r="R58" s="170"/>
      <c r="S58" s="27">
        <v>0.24722222222222226</v>
      </c>
      <c r="T58" s="27">
        <v>0.27500000000000002</v>
      </c>
      <c r="U58" s="4">
        <f t="shared" ref="U58:U59" si="44">(S58-T57)*24*60</f>
        <v>6.0000000000000187</v>
      </c>
      <c r="V58" s="21">
        <f t="shared" si="42"/>
        <v>39.999999999999979</v>
      </c>
      <c r="W58" s="4"/>
      <c r="X58" s="4"/>
      <c r="Y58" s="4"/>
      <c r="Z58" s="4"/>
      <c r="AA58" s="162"/>
      <c r="AB58" s="162"/>
      <c r="AC58" s="24"/>
      <c r="AD58" s="24"/>
      <c r="AE58" s="18">
        <f t="shared" si="43"/>
        <v>-131.99999999999864</v>
      </c>
      <c r="AF58" s="20">
        <f t="shared" si="9"/>
        <v>0.95600000000000041</v>
      </c>
      <c r="AG58" s="170"/>
    </row>
    <row r="59" spans="1:33" ht="15.75" customHeight="1">
      <c r="A59" s="172" t="s">
        <v>1594</v>
      </c>
      <c r="B59" s="4" t="s">
        <v>108</v>
      </c>
      <c r="C59" s="163" t="s">
        <v>127</v>
      </c>
      <c r="D59" s="163"/>
      <c r="E59" s="35">
        <v>35.119999999999997</v>
      </c>
      <c r="F59" s="38">
        <v>5975</v>
      </c>
      <c r="G59" s="4">
        <f t="shared" si="40"/>
        <v>209841.99999999997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1"/>
        <v>2867.9999999999995</v>
      </c>
      <c r="N59" s="16">
        <f t="shared" si="3"/>
        <v>286.79999999999995</v>
      </c>
      <c r="O59" s="18">
        <f t="shared" si="4"/>
        <v>0</v>
      </c>
      <c r="P59" s="19">
        <f t="shared" si="5"/>
        <v>-13.200000000000045</v>
      </c>
      <c r="Q59" s="20">
        <f t="shared" si="6"/>
        <v>0.95599999999999985</v>
      </c>
      <c r="R59" s="170"/>
      <c r="S59" s="27">
        <v>0.27847222222222223</v>
      </c>
      <c r="T59" s="27">
        <v>0.36527777777777781</v>
      </c>
      <c r="U59" s="4">
        <f t="shared" si="44"/>
        <v>4.9999999999999822</v>
      </c>
      <c r="V59" s="21">
        <f t="shared" si="42"/>
        <v>125.00000000000003</v>
      </c>
      <c r="W59" s="4"/>
      <c r="X59" s="4"/>
      <c r="Y59" s="4"/>
      <c r="Z59" s="4"/>
      <c r="AA59" s="162"/>
      <c r="AB59" s="162"/>
      <c r="AC59" s="24"/>
      <c r="AD59" s="24"/>
      <c r="AE59" s="18">
        <f t="shared" si="43"/>
        <v>-132.00000000000045</v>
      </c>
      <c r="AF59" s="20">
        <f t="shared" si="9"/>
        <v>0.95599999999999985</v>
      </c>
      <c r="AG59" s="170"/>
    </row>
    <row r="60" spans="1:33">
      <c r="A60" s="173" t="s">
        <v>297</v>
      </c>
      <c r="B60" s="35" t="s">
        <v>48</v>
      </c>
      <c r="C60" s="171"/>
      <c r="D60" s="171"/>
      <c r="E60" s="36"/>
      <c r="F60" s="16"/>
      <c r="G60" s="16"/>
      <c r="H60" s="4"/>
      <c r="I60" s="29">
        <v>10.666666666666666</v>
      </c>
      <c r="J60" s="17">
        <v>2666.6666666666665</v>
      </c>
      <c r="K60" s="16">
        <f t="shared" si="1"/>
        <v>250</v>
      </c>
      <c r="L60" s="29">
        <v>10.666666666666666</v>
      </c>
      <c r="M60" s="17">
        <f>AVERAGE(M57:M59)</f>
        <v>2553.2000000000003</v>
      </c>
      <c r="N60" s="16">
        <f t="shared" si="3"/>
        <v>239.36250000000004</v>
      </c>
      <c r="O60" s="18">
        <f t="shared" si="4"/>
        <v>0</v>
      </c>
      <c r="P60" s="19">
        <f t="shared" si="5"/>
        <v>-10.63749999999996</v>
      </c>
      <c r="Q60" s="20">
        <f t="shared" si="6"/>
        <v>0.95745000000000013</v>
      </c>
      <c r="R60" s="170"/>
      <c r="S60" s="27"/>
      <c r="T60" s="27"/>
      <c r="U60" s="16"/>
      <c r="V60" s="21"/>
      <c r="W60" s="16"/>
      <c r="X60" s="16"/>
      <c r="Y60" s="30">
        <f>SUM(Y57:Y59)</f>
        <v>0</v>
      </c>
      <c r="Z60" s="30">
        <f>SUM(Z57:Z59)</f>
        <v>0</v>
      </c>
      <c r="AA60" s="166"/>
      <c r="AB60" s="166"/>
      <c r="AC60" s="30">
        <v>3</v>
      </c>
      <c r="AD60" s="30">
        <f>SUM(AD57:AD59)</f>
        <v>0</v>
      </c>
      <c r="AE60" s="18">
        <f t="shared" si="43"/>
        <v>-113.46666666666624</v>
      </c>
      <c r="AF60" s="20">
        <f t="shared" si="9"/>
        <v>0.95745000000000013</v>
      </c>
      <c r="AG60" s="170"/>
    </row>
    <row r="61" spans="1:33" ht="15.75" customHeight="1">
      <c r="A61" s="167" t="s">
        <v>75</v>
      </c>
      <c r="B61" s="4" t="s">
        <v>97</v>
      </c>
      <c r="C61" s="163" t="s">
        <v>128</v>
      </c>
      <c r="D61" s="163"/>
      <c r="E61" s="35">
        <v>20.2</v>
      </c>
      <c r="F61" s="4">
        <v>2351</v>
      </c>
      <c r="G61" s="4">
        <f t="shared" ref="G61:G66" si="45">E61*F61</f>
        <v>47490.2</v>
      </c>
      <c r="H61" s="21" t="s">
        <v>133</v>
      </c>
      <c r="I61" s="15">
        <v>15</v>
      </c>
      <c r="J61" s="17">
        <v>2400</v>
      </c>
      <c r="K61" s="16">
        <f t="shared" si="1"/>
        <v>160</v>
      </c>
      <c r="L61" s="15">
        <v>15</v>
      </c>
      <c r="M61" s="17">
        <f t="shared" ref="M61:M66" si="46">F61/V61*60</f>
        <v>2312.4590163934427</v>
      </c>
      <c r="N61" s="16">
        <f t="shared" si="3"/>
        <v>154.1639344262295</v>
      </c>
      <c r="O61" s="18">
        <f t="shared" si="4"/>
        <v>0</v>
      </c>
      <c r="P61" s="19">
        <f t="shared" si="5"/>
        <v>-5.8360655737704974</v>
      </c>
      <c r="Q61" s="20">
        <f t="shared" si="6"/>
        <v>0.96352459016393444</v>
      </c>
      <c r="R61" s="170">
        <f>Q67</f>
        <v>0.95763872327599731</v>
      </c>
      <c r="S61" s="27">
        <v>8.3333333333333329E-2</v>
      </c>
      <c r="T61" s="27">
        <v>0.12569444444444444</v>
      </c>
      <c r="U61" s="27"/>
      <c r="V61" s="21">
        <f t="shared" ref="V61:V66" si="47">(T61-S61)*24*60</f>
        <v>61</v>
      </c>
      <c r="W61" s="22">
        <f>T61</f>
        <v>0.12569444444444444</v>
      </c>
      <c r="X61" s="22">
        <f>S62</f>
        <v>0.14722222222222223</v>
      </c>
      <c r="Y61" s="22"/>
      <c r="Z61" s="22"/>
      <c r="AA61" s="162"/>
      <c r="AB61" s="162"/>
      <c r="AC61" s="24">
        <v>6</v>
      </c>
      <c r="AD61" s="24"/>
      <c r="AE61" s="18">
        <f t="shared" si="43"/>
        <v>-87.540983606557347</v>
      </c>
      <c r="AF61" s="20">
        <f t="shared" si="9"/>
        <v>0.96352459016393444</v>
      </c>
      <c r="AG61" s="170">
        <f>AF67</f>
        <v>0.95763872327599719</v>
      </c>
    </row>
    <row r="62" spans="1:33" ht="15.75" customHeight="1">
      <c r="A62" s="168" t="s">
        <v>1595</v>
      </c>
      <c r="B62" s="4" t="s">
        <v>97</v>
      </c>
      <c r="C62" s="163" t="s">
        <v>129</v>
      </c>
      <c r="D62" s="163"/>
      <c r="E62" s="35">
        <v>24.45</v>
      </c>
      <c r="F62" s="4">
        <v>2776</v>
      </c>
      <c r="G62" s="4">
        <f t="shared" si="45"/>
        <v>67873.2</v>
      </c>
      <c r="H62" s="21" t="s">
        <v>133</v>
      </c>
      <c r="I62" s="15">
        <v>19</v>
      </c>
      <c r="J62" s="17">
        <v>2400</v>
      </c>
      <c r="K62" s="16">
        <f t="shared" si="1"/>
        <v>126.31578947368421</v>
      </c>
      <c r="L62" s="15">
        <v>19</v>
      </c>
      <c r="M62" s="17">
        <f t="shared" si="46"/>
        <v>2281.6438356164385</v>
      </c>
      <c r="N62" s="16">
        <f t="shared" si="3"/>
        <v>120.08651766402308</v>
      </c>
      <c r="O62" s="18">
        <f t="shared" si="4"/>
        <v>0</v>
      </c>
      <c r="P62" s="19">
        <f t="shared" si="5"/>
        <v>-6.2292718096611281</v>
      </c>
      <c r="Q62" s="20">
        <f t="shared" si="6"/>
        <v>0.95068493150684941</v>
      </c>
      <c r="R62" s="170"/>
      <c r="S62" s="27">
        <v>0.14722222222222223</v>
      </c>
      <c r="T62" s="27">
        <v>0.19791666666666666</v>
      </c>
      <c r="U62" s="4">
        <f t="shared" ref="U62:U66" si="48">(S62-T61)*24*60</f>
        <v>31.000000000000011</v>
      </c>
      <c r="V62" s="21">
        <f t="shared" si="47"/>
        <v>72.999999999999986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3"/>
        <v>-118.35616438356146</v>
      </c>
      <c r="AF62" s="20">
        <f t="shared" si="9"/>
        <v>0.95068493150684941</v>
      </c>
      <c r="AG62" s="170"/>
    </row>
    <row r="63" spans="1:33" ht="15.75" customHeight="1">
      <c r="A63" s="168" t="s">
        <v>75</v>
      </c>
      <c r="B63" s="4" t="s">
        <v>97</v>
      </c>
      <c r="C63" s="163" t="s">
        <v>106</v>
      </c>
      <c r="D63" s="163"/>
      <c r="E63" s="35">
        <v>20.21</v>
      </c>
      <c r="F63" s="4">
        <v>2918</v>
      </c>
      <c r="G63" s="4">
        <f t="shared" si="45"/>
        <v>58972.780000000006</v>
      </c>
      <c r="H63" s="21" t="s">
        <v>133</v>
      </c>
      <c r="I63" s="15">
        <v>15</v>
      </c>
      <c r="J63" s="17">
        <v>2400</v>
      </c>
      <c r="K63" s="16">
        <f t="shared" si="1"/>
        <v>160</v>
      </c>
      <c r="L63" s="15">
        <v>15</v>
      </c>
      <c r="M63" s="17">
        <f t="shared" si="46"/>
        <v>2303.6842105263163</v>
      </c>
      <c r="N63" s="16">
        <f t="shared" si="3"/>
        <v>153.5789473684211</v>
      </c>
      <c r="O63" s="18">
        <f t="shared" si="4"/>
        <v>0</v>
      </c>
      <c r="P63" s="19">
        <f t="shared" si="5"/>
        <v>-6.4210526315789025</v>
      </c>
      <c r="Q63" s="20">
        <f t="shared" si="6"/>
        <v>0.95986842105263182</v>
      </c>
      <c r="R63" s="170"/>
      <c r="S63" s="27">
        <v>0.20208333333333334</v>
      </c>
      <c r="T63" s="27">
        <v>0.25486111111111109</v>
      </c>
      <c r="U63" s="4">
        <f t="shared" si="48"/>
        <v>6.0000000000000187</v>
      </c>
      <c r="V63" s="21">
        <f t="shared" si="47"/>
        <v>75.999999999999972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3"/>
        <v>-96.315789473683708</v>
      </c>
      <c r="AF63" s="20">
        <f t="shared" si="9"/>
        <v>0.95986842105263182</v>
      </c>
      <c r="AG63" s="170"/>
    </row>
    <row r="64" spans="1:33" ht="15.75" customHeight="1">
      <c r="A64" s="168" t="s">
        <v>75</v>
      </c>
      <c r="B64" s="4" t="s">
        <v>97</v>
      </c>
      <c r="C64" s="163" t="s">
        <v>130</v>
      </c>
      <c r="D64" s="163"/>
      <c r="E64" s="35">
        <v>24.43</v>
      </c>
      <c r="F64" s="4">
        <v>6569</v>
      </c>
      <c r="G64" s="4">
        <f t="shared" si="45"/>
        <v>160480.66999999998</v>
      </c>
      <c r="H64" s="21" t="s">
        <v>133</v>
      </c>
      <c r="I64" s="15">
        <v>14</v>
      </c>
      <c r="J64" s="17">
        <v>2400</v>
      </c>
      <c r="K64" s="16">
        <f t="shared" si="1"/>
        <v>171.42857142857142</v>
      </c>
      <c r="L64" s="15">
        <v>14</v>
      </c>
      <c r="M64" s="17">
        <f t="shared" si="46"/>
        <v>2291.5116279069762</v>
      </c>
      <c r="N64" s="16">
        <f t="shared" si="3"/>
        <v>163.67940199335544</v>
      </c>
      <c r="O64" s="18">
        <f t="shared" si="4"/>
        <v>0</v>
      </c>
      <c r="P64" s="19">
        <f t="shared" si="5"/>
        <v>-7.7491694352159755</v>
      </c>
      <c r="Q64" s="20">
        <f t="shared" si="6"/>
        <v>0.9547965116279068</v>
      </c>
      <c r="R64" s="170"/>
      <c r="S64" s="27">
        <v>0.2583333333333333</v>
      </c>
      <c r="T64" s="27">
        <v>0.37777777777777777</v>
      </c>
      <c r="U64" s="4">
        <f t="shared" si="48"/>
        <v>4.9999999999999822</v>
      </c>
      <c r="V64" s="21">
        <f t="shared" si="47"/>
        <v>172.00000000000003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3"/>
        <v>-108.48837209302383</v>
      </c>
      <c r="AF64" s="20">
        <f t="shared" si="9"/>
        <v>0.95479651162790669</v>
      </c>
      <c r="AG64" s="170"/>
    </row>
    <row r="65" spans="1:33" ht="15.75" customHeight="1">
      <c r="A65" s="168" t="s">
        <v>75</v>
      </c>
      <c r="B65" s="4" t="s">
        <v>97</v>
      </c>
      <c r="C65" s="163" t="s">
        <v>132</v>
      </c>
      <c r="D65" s="163"/>
      <c r="E65" s="35">
        <v>19.02</v>
      </c>
      <c r="F65" s="4">
        <v>5500</v>
      </c>
      <c r="G65" s="4">
        <f t="shared" si="45"/>
        <v>104610</v>
      </c>
      <c r="H65" s="21">
        <v>2</v>
      </c>
      <c r="I65" s="15">
        <v>14</v>
      </c>
      <c r="J65" s="17">
        <v>2400</v>
      </c>
      <c r="K65" s="16">
        <f t="shared" si="1"/>
        <v>171.42857142857142</v>
      </c>
      <c r="L65" s="15">
        <v>14</v>
      </c>
      <c r="M65" s="17">
        <f t="shared" si="46"/>
        <v>2291.666666666667</v>
      </c>
      <c r="N65" s="16">
        <f t="shared" si="3"/>
        <v>163.6904761904762</v>
      </c>
      <c r="O65" s="18">
        <f t="shared" si="4"/>
        <v>0</v>
      </c>
      <c r="P65" s="19">
        <f t="shared" si="5"/>
        <v>-7.7380952380952124</v>
      </c>
      <c r="Q65" s="20">
        <f t="shared" si="6"/>
        <v>0.95486111111111127</v>
      </c>
      <c r="R65" s="170"/>
      <c r="S65" s="27">
        <v>0.38124999999999998</v>
      </c>
      <c r="T65" s="27">
        <v>0.48124999999999996</v>
      </c>
      <c r="U65" s="4">
        <f t="shared" si="48"/>
        <v>4.9999999999999822</v>
      </c>
      <c r="V65" s="21">
        <f t="shared" si="47"/>
        <v>143.99999999999997</v>
      </c>
      <c r="W65" s="22">
        <f>T65</f>
        <v>0.48124999999999996</v>
      </c>
      <c r="X65" s="22">
        <f>S66</f>
        <v>0.52013888888888882</v>
      </c>
      <c r="Y65" s="22"/>
      <c r="Z65" s="22"/>
      <c r="AA65" s="162"/>
      <c r="AB65" s="162"/>
      <c r="AC65" s="24"/>
      <c r="AD65" s="24"/>
      <c r="AE65" s="18">
        <f t="shared" si="43"/>
        <v>-108.33333333333303</v>
      </c>
      <c r="AF65" s="20">
        <f t="shared" si="9"/>
        <v>0.95486111111111127</v>
      </c>
      <c r="AG65" s="170"/>
    </row>
    <row r="66" spans="1:33" ht="15.75" customHeight="1">
      <c r="A66" s="168" t="s">
        <v>75</v>
      </c>
      <c r="B66" s="4" t="s">
        <v>97</v>
      </c>
      <c r="C66" s="163" t="s">
        <v>132</v>
      </c>
      <c r="D66" s="163"/>
      <c r="E66" s="35">
        <v>19.02</v>
      </c>
      <c r="F66" s="4">
        <v>3579</v>
      </c>
      <c r="G66" s="4">
        <f t="shared" si="45"/>
        <v>68072.58</v>
      </c>
      <c r="H66" s="21" t="s">
        <v>133</v>
      </c>
      <c r="I66" s="15">
        <v>14</v>
      </c>
      <c r="J66" s="17">
        <v>2400</v>
      </c>
      <c r="K66" s="16">
        <f t="shared" si="1"/>
        <v>171.42857142857142</v>
      </c>
      <c r="L66" s="15">
        <v>14</v>
      </c>
      <c r="M66" s="17">
        <f t="shared" si="46"/>
        <v>2309.0322580645166</v>
      </c>
      <c r="N66" s="16">
        <f t="shared" si="3"/>
        <v>164.9308755760369</v>
      </c>
      <c r="O66" s="18">
        <f t="shared" si="4"/>
        <v>0</v>
      </c>
      <c r="P66" s="19">
        <f t="shared" si="5"/>
        <v>-6.4976958525345196</v>
      </c>
      <c r="Q66" s="20">
        <f t="shared" si="6"/>
        <v>0.96209677419354867</v>
      </c>
      <c r="R66" s="170"/>
      <c r="S66" s="27">
        <v>0.52013888888888882</v>
      </c>
      <c r="T66" s="27">
        <v>0.58472222222222214</v>
      </c>
      <c r="U66" s="4">
        <f t="shared" si="48"/>
        <v>55.999999999999957</v>
      </c>
      <c r="V66" s="21">
        <f t="shared" si="47"/>
        <v>92.999999999999986</v>
      </c>
      <c r="W66" s="22"/>
      <c r="X66" s="22"/>
      <c r="Y66" s="22"/>
      <c r="Z66" s="22"/>
      <c r="AA66" s="162"/>
      <c r="AB66" s="162"/>
      <c r="AC66" s="24"/>
      <c r="AD66" s="24"/>
      <c r="AE66" s="18">
        <f t="shared" si="43"/>
        <v>-90.967741935483446</v>
      </c>
      <c r="AF66" s="20">
        <f t="shared" si="9"/>
        <v>0.96209677419354855</v>
      </c>
      <c r="AG66" s="170"/>
    </row>
    <row r="67" spans="1:33" ht="16.5" customHeight="1">
      <c r="A67" s="169" t="s">
        <v>75</v>
      </c>
      <c r="B67" s="35" t="s">
        <v>1596</v>
      </c>
      <c r="C67" s="164"/>
      <c r="D67" s="165"/>
      <c r="E67" s="36"/>
      <c r="F67" s="16"/>
      <c r="G67" s="16"/>
      <c r="H67" s="4"/>
      <c r="I67" s="29">
        <v>15.166666666666666</v>
      </c>
      <c r="J67" s="17">
        <v>2400</v>
      </c>
      <c r="K67" s="16">
        <f t="shared" si="1"/>
        <v>158.24175824175825</v>
      </c>
      <c r="L67" s="29">
        <v>15.166666666666666</v>
      </c>
      <c r="M67" s="17">
        <f>AVERAGE(M61:M66)</f>
        <v>2298.3329358623932</v>
      </c>
      <c r="N67" s="16">
        <f t="shared" si="3"/>
        <v>151.53843533158638</v>
      </c>
      <c r="O67" s="18">
        <f t="shared" si="4"/>
        <v>0</v>
      </c>
      <c r="P67" s="19">
        <f t="shared" si="5"/>
        <v>-6.7033229101718632</v>
      </c>
      <c r="Q67" s="20">
        <f t="shared" si="6"/>
        <v>0.95763872327599731</v>
      </c>
      <c r="R67" s="170"/>
      <c r="S67" s="27"/>
      <c r="T67" s="27"/>
      <c r="U67" s="16"/>
      <c r="V67" s="21"/>
      <c r="W67" s="16"/>
      <c r="X67" s="16"/>
      <c r="Y67" s="30">
        <f>SUM(Y61:Y66)</f>
        <v>0</v>
      </c>
      <c r="Z67" s="30">
        <f>SUM(Z61:Z66)</f>
        <v>0</v>
      </c>
      <c r="AA67" s="166"/>
      <c r="AB67" s="166"/>
      <c r="AC67" s="30">
        <v>6</v>
      </c>
      <c r="AD67" s="30">
        <f>SUM(AD61:AD66)</f>
        <v>0</v>
      </c>
      <c r="AE67" s="18">
        <f t="shared" si="43"/>
        <v>-101.66706413760676</v>
      </c>
      <c r="AF67" s="20">
        <f t="shared" si="9"/>
        <v>0.95763872327599719</v>
      </c>
      <c r="AG67" s="170"/>
    </row>
    <row r="68" spans="1:33">
      <c r="D68" s="41"/>
      <c r="E68" s="41"/>
    </row>
  </sheetData>
  <mergeCells count="187">
    <mergeCell ref="A61:A67"/>
    <mergeCell ref="C61:D61"/>
    <mergeCell ref="R61:R67"/>
    <mergeCell ref="AA61:AB61"/>
    <mergeCell ref="AG61:AG67"/>
    <mergeCell ref="C62:D62"/>
    <mergeCell ref="AA62:AB62"/>
    <mergeCell ref="C63:D63"/>
    <mergeCell ref="AA63:AB63"/>
    <mergeCell ref="C64:D64"/>
    <mergeCell ref="C66:D66"/>
    <mergeCell ref="AA66:AB66"/>
    <mergeCell ref="C67:D67"/>
    <mergeCell ref="AA67:AB67"/>
    <mergeCell ref="C58:D58"/>
    <mergeCell ref="AA58:AB58"/>
    <mergeCell ref="C59:D59"/>
    <mergeCell ref="AA59:AB59"/>
    <mergeCell ref="C60:D60"/>
    <mergeCell ref="AA60:AB60"/>
    <mergeCell ref="AA64:AB64"/>
    <mergeCell ref="C65:D65"/>
    <mergeCell ref="AA65:AB65"/>
    <mergeCell ref="A57:A60"/>
    <mergeCell ref="C57:D57"/>
    <mergeCell ref="R57:R60"/>
    <mergeCell ref="AA57:AB57"/>
    <mergeCell ref="AG48:AG56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48:A56"/>
    <mergeCell ref="C48:D48"/>
    <mergeCell ref="R48:R56"/>
    <mergeCell ref="AA48:AB48"/>
    <mergeCell ref="AA54:AB54"/>
    <mergeCell ref="C55:D55"/>
    <mergeCell ref="AA55:AB55"/>
    <mergeCell ref="C56:D56"/>
    <mergeCell ref="AA56:AB56"/>
    <mergeCell ref="AG57:AG60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A46:AB46"/>
    <mergeCell ref="C47:D47"/>
    <mergeCell ref="AA47:AB47"/>
    <mergeCell ref="A31:A38"/>
    <mergeCell ref="C31:D31"/>
    <mergeCell ref="R31:R38"/>
    <mergeCell ref="AA31:AB31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G31:AG38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18:AG23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18:A23"/>
    <mergeCell ref="C18:D18"/>
    <mergeCell ref="R18:R23"/>
    <mergeCell ref="AA18:AB18"/>
    <mergeCell ref="AA23:AB23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7">
    <cfRule type="cellIs" dxfId="162" priority="9" operator="greaterThan">
      <formula>0</formula>
    </cfRule>
  </conditionalFormatting>
  <conditionalFormatting sqref="P5:P67">
    <cfRule type="cellIs" dxfId="161" priority="1" operator="lessThan">
      <formula>0</formula>
    </cfRule>
  </conditionalFormatting>
  <conditionalFormatting sqref="Q5:Q67 AF5:AF67">
    <cfRule type="cellIs" dxfId="160" priority="10" operator="greaterThan">
      <formula>1</formula>
    </cfRule>
    <cfRule type="cellIs" dxfId="159" priority="11" operator="lessThan">
      <formula>0.8</formula>
    </cfRule>
  </conditionalFormatting>
  <conditionalFormatting sqref="R5:R10 AG5:AG10">
    <cfRule type="cellIs" dxfId="158" priority="59" operator="lessThan">
      <formula>0.8</formula>
    </cfRule>
  </conditionalFormatting>
  <conditionalFormatting sqref="AE5:AE67">
    <cfRule type="cellIs" dxfId="157" priority="12" operator="lessThan">
      <formula>0</formula>
    </cfRule>
  </conditionalFormatting>
  <conditionalFormatting sqref="AG13:AG59 R13:R67">
    <cfRule type="cellIs" dxfId="156" priority="13" operator="lessThan">
      <formula>0.8</formula>
    </cfRule>
  </conditionalFormatting>
  <dataValidations count="1">
    <dataValidation type="list" allowBlank="1" showInputMessage="1" showErrorMessage="1" sqref="AB9 AA5:AB8 AA9:AA59 AB11:AB57 AA60:AB67" xr:uid="{00000000-0002-0000-1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Q32"/>
  <sheetViews>
    <sheetView zoomScale="85" zoomScaleNormal="85" workbookViewId="0">
      <selection activeCell="AC66" sqref="AC66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1426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1427</v>
      </c>
      <c r="C3" s="151" t="str">
        <f>TEXT('0317 4度C'!A2,"yyyy.mm.ddaaaa")</f>
        <v>2026.03.17星期二</v>
      </c>
      <c r="D3" s="152"/>
      <c r="E3" s="45" t="s">
        <v>1428</v>
      </c>
      <c r="F3" s="153">
        <f>'0317 4度C'!D1</f>
        <v>172830</v>
      </c>
      <c r="G3" s="154"/>
      <c r="H3" s="45" t="s">
        <v>1429</v>
      </c>
      <c r="I3" s="155">
        <f>'0317 4度C'!F1</f>
        <v>5739385.2699999996</v>
      </c>
      <c r="J3" s="156"/>
      <c r="K3" s="46"/>
      <c r="L3" s="47"/>
      <c r="M3" s="47"/>
      <c r="N3" s="47"/>
    </row>
    <row r="4" spans="2:17" ht="28.5" customHeight="1">
      <c r="B4" s="157" t="s">
        <v>1430</v>
      </c>
      <c r="C4" s="143" t="s">
        <v>1431</v>
      </c>
      <c r="D4" s="144"/>
      <c r="E4" s="160" t="s">
        <v>1432</v>
      </c>
      <c r="F4" s="161"/>
      <c r="G4" s="160" t="s">
        <v>204</v>
      </c>
      <c r="H4" s="161"/>
      <c r="I4" s="160" t="s">
        <v>1433</v>
      </c>
      <c r="J4" s="161"/>
      <c r="K4" s="141" t="s">
        <v>1434</v>
      </c>
      <c r="L4" s="142"/>
      <c r="M4" s="142" t="s">
        <v>144</v>
      </c>
      <c r="N4" s="142"/>
    </row>
    <row r="5" spans="2:17" ht="28.5" customHeight="1">
      <c r="B5" s="158"/>
      <c r="C5" s="143" t="s">
        <v>1435</v>
      </c>
      <c r="D5" s="144"/>
      <c r="E5" s="143" t="s">
        <v>1436</v>
      </c>
      <c r="F5" s="144"/>
      <c r="G5" s="145" t="s">
        <v>1437</v>
      </c>
      <c r="H5" s="146"/>
      <c r="I5" s="147" t="s">
        <v>1438</v>
      </c>
      <c r="J5" s="148"/>
      <c r="K5" s="48" t="s">
        <v>1439</v>
      </c>
      <c r="L5" s="49" t="s">
        <v>1440</v>
      </c>
      <c r="M5" s="48" t="s">
        <v>1439</v>
      </c>
      <c r="N5" s="49" t="s">
        <v>1441</v>
      </c>
    </row>
    <row r="6" spans="2:17" ht="28.5" customHeight="1">
      <c r="B6" s="158"/>
      <c r="C6" s="143" t="s">
        <v>153</v>
      </c>
      <c r="D6" s="144"/>
      <c r="E6" s="135">
        <f>AVERAGE(D13:M13)</f>
        <v>152.82799677199824</v>
      </c>
      <c r="F6" s="136">
        <f>AVERAGE(D31:O31,D13:J13)</f>
        <v>158.05820574963641</v>
      </c>
      <c r="G6" s="137">
        <f>AVERAGE(D13:J13)</f>
        <v>158.05820574963641</v>
      </c>
      <c r="H6" s="138"/>
      <c r="I6" s="137">
        <f>AVERAGE(K13:M13)</f>
        <v>140.62417582417584</v>
      </c>
      <c r="J6" s="138"/>
      <c r="K6" s="139">
        <f>'0317 4度C'!Y2</f>
        <v>0</v>
      </c>
      <c r="L6" s="124">
        <f>'0317 4度C'!Z2</f>
        <v>0</v>
      </c>
      <c r="M6" s="140">
        <f>'0317 4度C'!AC2</f>
        <v>59</v>
      </c>
      <c r="N6" s="124">
        <f>'0317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146.52137617678798</v>
      </c>
      <c r="F7" s="128">
        <f>AVERAGE(D32:O32,D14:J14)</f>
        <v>151.65746318150164</v>
      </c>
      <c r="G7" s="129">
        <f>AVERAGE(D14:J14)</f>
        <v>151.65746318150164</v>
      </c>
      <c r="H7" s="130"/>
      <c r="I7" s="129">
        <f>AVERAGE(K14:M14)</f>
        <v>134.53717316578948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0.95924236391206252</v>
      </c>
      <c r="F8" s="132">
        <f>AVERAGE(D15:J15,D33:O33)</f>
        <v>0.96027353910146118</v>
      </c>
      <c r="G8" s="133">
        <f>AVERAGE(D15:J15)</f>
        <v>0.96027353910146118</v>
      </c>
      <c r="H8" s="134"/>
      <c r="I8" s="133">
        <f>AVERAGE(K15:M15)</f>
        <v>0.95683628847013225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216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1442</v>
      </c>
      <c r="E10" s="110"/>
      <c r="F10" s="110"/>
      <c r="G10" s="110"/>
      <c r="H10" s="110"/>
      <c r="I10" s="110"/>
      <c r="J10" s="111"/>
      <c r="K10" s="112" t="s">
        <v>1443</v>
      </c>
      <c r="L10" s="113"/>
      <c r="M10" s="114"/>
      <c r="P10" s="53"/>
      <c r="Q10" s="53"/>
    </row>
    <row r="11" spans="2:17" ht="17.25" customHeight="1">
      <c r="B11" s="115" t="s">
        <v>1444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1445</v>
      </c>
      <c r="C13" s="60" t="s">
        <v>1446</v>
      </c>
      <c r="D13" s="61">
        <f>SUMIFS('0317 4度C'!$K:$K,'0317 4度C'!$A:$A,"新豐6線",'0317 4度C'!$B:$B,"平均")</f>
        <v>113.63636363636363</v>
      </c>
      <c r="E13" s="62">
        <f>SUMIFS('0317 4度C'!$K:$K,'0317 4度C'!$A:$A,"新豐2線",'0317 4度C'!$B:$B,"平均")</f>
        <v>84.905660377358487</v>
      </c>
      <c r="F13" s="63">
        <f>SUMIFS('0317 4度C'!$K:$K,'0317 4度C'!$A:$A,"新豐5線",'0317 4度C'!$B:$B,"平均")</f>
        <v>102.73972602739725</v>
      </c>
      <c r="G13" s="63">
        <f>SUMIFS('0317 4度C'!$K:$K,'0317 4度C'!$A:$A,"新豐7線",'0317 4度C'!$B:$B,"平均")</f>
        <v>128.37837837837839</v>
      </c>
      <c r="H13" s="63">
        <f>SUMIFS('0317 4度C'!$K:$K,'0317 4度C'!$A:$A,"新豐3線",'0317 4度C'!$B:$B,"平均")</f>
        <v>322.58064516129031</v>
      </c>
      <c r="I13" s="63">
        <f>SUMIFS('0317 4度C'!$K:$K,'0317 4度C'!$A:$A,"新豐1線",'0317 4度C'!$B:$B,"平均")</f>
        <v>104.16666666666666</v>
      </c>
      <c r="J13" s="64">
        <f>SUMIFS('0317 4度C'!$K:$K,'0317 4度C'!$A:$A,"新豐10線",'0317 4度C'!$B:$B,"平均")</f>
        <v>250</v>
      </c>
      <c r="K13" s="65">
        <f>SUMIFS('0317 4度C'!$K:$K,'0317 4度C'!$A:$A,"新豐8線",'0317 4度C'!$B:$B,"平均")</f>
        <v>129.23076923076923</v>
      </c>
      <c r="L13" s="66">
        <f>SUMIFS('0317 4度C'!$K:$K,'0317 4度C'!$A:$A,"新豐9線",'0317 4度C'!$B:$B,"平均")</f>
        <v>134.4</v>
      </c>
      <c r="M13" s="64">
        <f>SUMIFS('0317 4度C'!$K:$K,'0317 4度C'!$A:$A,"新豐4線",'0317 4度C'!$B:$B,"平均")</f>
        <v>158.24175824175825</v>
      </c>
    </row>
    <row r="14" spans="2:17" ht="39.6" customHeight="1">
      <c r="B14" s="120"/>
      <c r="C14" s="67" t="s">
        <v>1447</v>
      </c>
      <c r="D14" s="68">
        <f>SUMIFS('0317 4度C'!$N:$N,'0317 4度C'!$A:$A,"新豐6線",'0317 4度C'!$B:$B,"平均")</f>
        <v>109.99482540168007</v>
      </c>
      <c r="E14" s="69">
        <f>SUMIFS('0317 4度C'!$N:$N,'0317 4度C'!$A:$A,"新豐2線",'0317 4度C'!$B:$B,"平均")</f>
        <v>81.115299342528871</v>
      </c>
      <c r="F14" s="69">
        <f>SUMIFS('0317 4度C'!$N:$N,'0317 4度C'!$A:$A,"新豐5線",'0317 4度C'!$B:$B,"平均")</f>
        <v>99.020705744649661</v>
      </c>
      <c r="G14" s="69">
        <f>SUMIFS('0317 4度C'!$N:$N,'0317 4度C'!$A:$A,"新豐7線",'0317 4度C'!$B:$B,"平均")</f>
        <v>123.53234906841998</v>
      </c>
      <c r="H14" s="69">
        <f>SUMIFS('0317 4度C'!$N:$N,'0317 4度C'!$A:$A,"新豐3線",'0317 4度C'!$B:$B,"平均")</f>
        <v>308.21170371215254</v>
      </c>
      <c r="I14" s="69">
        <f>SUMIFS('0317 4度C'!$N:$N,'0317 4度C'!$A:$A,"新豐1線",'0317 4度C'!$B:$B,"平均")</f>
        <v>99.675554374547261</v>
      </c>
      <c r="J14" s="70">
        <f>SUMIFS('0317 4度C'!$N:$N,'0317 4度C'!$A:$A,"新豐10線",'0317 4度C'!$B:$B,"平均")</f>
        <v>240.051804626533</v>
      </c>
      <c r="K14" s="71">
        <f>SUMIFS('0317 4度C'!$N:$N,'0317 4度C'!$A:$A,"新豐8線",'0317 4度C'!$B:$B,"平均")</f>
        <v>123.88733506108301</v>
      </c>
      <c r="L14" s="72">
        <f>SUMIFS('0317 4度C'!$N:$N,'0317 4度C'!$A:$A,"新豐9線",'0317 4度C'!$B:$B,"平均")</f>
        <v>128.59174159123344</v>
      </c>
      <c r="M14" s="70">
        <f>SUMIFS('0317 4度C'!$N:$N,'0317 4度C'!$A:$A,"新豐4線",'0317 4度C'!$B:$B,"平均")</f>
        <v>151.13244284505205</v>
      </c>
    </row>
    <row r="15" spans="2:17" ht="40.15" customHeight="1">
      <c r="B15" s="121"/>
      <c r="C15" s="73" t="s">
        <v>1448</v>
      </c>
      <c r="D15" s="74">
        <f t="shared" ref="D15:M15" si="0">D14/D13</f>
        <v>0.96795446353478476</v>
      </c>
      <c r="E15" s="75">
        <f t="shared" si="0"/>
        <v>0.95535797003422895</v>
      </c>
      <c r="F15" s="75">
        <f t="shared" si="0"/>
        <v>0.96380153591459006</v>
      </c>
      <c r="G15" s="75">
        <f t="shared" si="0"/>
        <v>0.96225198221716601</v>
      </c>
      <c r="H15" s="75">
        <f t="shared" si="0"/>
        <v>0.95545628150767292</v>
      </c>
      <c r="I15" s="75">
        <f t="shared" si="0"/>
        <v>0.95688532199565379</v>
      </c>
      <c r="J15" s="76">
        <f t="shared" si="0"/>
        <v>0.960207218506132</v>
      </c>
      <c r="K15" s="74">
        <f t="shared" si="0"/>
        <v>0.95865199749647567</v>
      </c>
      <c r="L15" s="75">
        <f t="shared" si="0"/>
        <v>0.95678379160143923</v>
      </c>
      <c r="M15" s="76">
        <f t="shared" si="0"/>
        <v>0.95507307631248173</v>
      </c>
    </row>
    <row r="16" spans="2:17" ht="17.25" customHeight="1">
      <c r="B16" s="122" t="s">
        <v>175</v>
      </c>
      <c r="C16" s="77" t="s">
        <v>176</v>
      </c>
      <c r="D16" s="78">
        <f>VLOOKUP("新豐6線",'0317 4度C'!$A:$T,19,0)</f>
        <v>0.70833333333333337</v>
      </c>
      <c r="E16" s="79">
        <f>VLOOKUP("新豐2線",'0317 4度C'!$A:$T,19,0)</f>
        <v>0.20833333333333334</v>
      </c>
      <c r="F16" s="79">
        <f>VLOOKUP("新豐5線",'0317 4度C'!$A:$T,19,0)</f>
        <v>0.20833333333333334</v>
      </c>
      <c r="G16" s="79">
        <f>VLOOKUP("新豐7線",'0317 4度C'!$A:$T,19,0)</f>
        <v>0.20833333333333334</v>
      </c>
      <c r="H16" s="79">
        <f>VLOOKUP("新豐3線",'0317 4度C'!$A:$T,19,0)</f>
        <v>8.3333333333333329E-2</v>
      </c>
      <c r="I16" s="79">
        <f>VLOOKUP("新豐1線",'0317 4度C'!$A:$T,19,0)</f>
        <v>0.20833333333333334</v>
      </c>
      <c r="J16" s="80">
        <f>VLOOKUP("新豐10線",'0317 4度C'!$A:$T,19,0)</f>
        <v>0.20833333333333334</v>
      </c>
      <c r="K16" s="81">
        <f>VLOOKUP("新豐8線",'0317 4度C'!$A:$T,19,0)</f>
        <v>8.3333333333333329E-2</v>
      </c>
      <c r="L16" s="82">
        <f>VLOOKUP("新豐9線",'0317 4度C'!$A:$T,19,0)</f>
        <v>8.3333333333333329E-2</v>
      </c>
      <c r="M16" s="83">
        <f>VLOOKUP("新豐4線",'0317 4度C'!$A:$T,19,0)</f>
        <v>8.3333333333333329E-2</v>
      </c>
    </row>
    <row r="17" spans="2:13" ht="17.25" customHeight="1">
      <c r="B17" s="123"/>
      <c r="C17" s="77" t="s">
        <v>177</v>
      </c>
      <c r="D17" s="81">
        <f>LOOKUP(2,1/(('0317 4度C'!$A:$A="新豐6線")*('0317 4度C'!$T:$T&lt;&gt;"")),'0317 4度C'!$T:$T)</f>
        <v>0.84097222222222212</v>
      </c>
      <c r="E17" s="79">
        <f>LOOKUP(2,1/(('0317 4度C'!$A:$A="新豐2線")*('0317 4度C'!$T:$T&lt;&gt;"")),'0317 4度C'!$T:$T)</f>
        <v>0.60972222222222217</v>
      </c>
      <c r="F17" s="79">
        <f>LOOKUP(2,1/(('0317 4度C'!$A:$A="新豐5線")*('0317 4度C'!$T:$T&lt;&gt;"")),'0317 4度C'!$T:$T)</f>
        <v>0.84652777777777777</v>
      </c>
      <c r="G17" s="79">
        <f>LOOKUP(2,1/(('0317 4度C'!$A:$A="新豐7線")*('0317 4度C'!$T:$T&lt;&gt;"")),'0317 4度C'!$T:$T)</f>
        <v>0.8534722222222223</v>
      </c>
      <c r="H17" s="79">
        <f>LOOKUP(2,1/(('0317 4度C'!$A:$A="新豐3線")*('0317 4度C'!$T:$T&lt;&gt;"")),'0317 4度C'!$T:$T)</f>
        <v>0.67916666666666647</v>
      </c>
      <c r="I17" s="79">
        <f>LOOKUP(2,1/(('0317 4度C'!$A:$A="新豐1線")*('0317 4度C'!$T:$T&lt;&gt;"")),'0317 4度C'!$T:$T)</f>
        <v>0.90416666666666667</v>
      </c>
      <c r="J17" s="80">
        <f>LOOKUP(2,1/(('0317 4度C'!$A:$A="新豐10線")*('0317 4度C'!$T:$T&lt;&gt;"")),'0317 4度C'!$T:$T)</f>
        <v>0.38124999999999998</v>
      </c>
      <c r="K17" s="78">
        <f>LOOKUP(2,1/(('0317 4度C'!$A:$A="新豐8線")*('0317 4度C'!$T:$T&lt;&gt;"")),'0317 4度C'!$T:$T)</f>
        <v>0.62291666666666645</v>
      </c>
      <c r="L17" s="79">
        <f>LOOKUP(2,1/(('0317 4度C'!$A:$A="新豐9線")*('0317 4度C'!$T:$T&lt;&gt;"")),'0317 4度C'!$T:$T)</f>
        <v>0.6416666666666665</v>
      </c>
      <c r="M17" s="80">
        <f>LOOKUP(2,1/(('0317 4度C'!$A:$A="新豐4線")*('0317 4度C'!$T:$T&lt;&gt;"")),'0317 4度C'!$T:$T)</f>
        <v>0.61874999999999991</v>
      </c>
    </row>
    <row r="18" spans="2:13" ht="17.25" customHeight="1">
      <c r="B18" s="101" t="s">
        <v>1449</v>
      </c>
      <c r="C18" s="84" t="s">
        <v>1450</v>
      </c>
      <c r="D18" s="85">
        <f>SUMIFS('0317 4度C'!$Y:$Y,'0317 4度C'!$A:$A,"新豐6線",'0317 4度C'!$B:$B,"平均")</f>
        <v>0</v>
      </c>
      <c r="E18" s="86">
        <f>SUMIFS('0317 4度C'!$Y:$Y,'0317 4度C'!$A:$A,"新豐2線",'0317 4度C'!$B:$B,"平均")</f>
        <v>0</v>
      </c>
      <c r="F18" s="86">
        <f>SUMIFS('0317 4度C'!$Y:$Y,'0317 4度C'!$A:$A,"新豐5線",'0317 4度C'!$B:$B,"平均")</f>
        <v>0</v>
      </c>
      <c r="G18" s="86">
        <f>SUMIFS('0317 4度C'!$Y:$Y,'0317 4度C'!$A:$A,"新豐7線",'0317 4度C'!$B:$B,"平均")</f>
        <v>0</v>
      </c>
      <c r="H18" s="86">
        <f>SUMIFS('0317 4度C'!$Y:$Y,'0317 4度C'!$A:$A,"新豐3線",'0317 4度C'!$B:$B,"平均")</f>
        <v>0</v>
      </c>
      <c r="I18" s="86">
        <f>SUMIFS('0317 4度C'!$Y:$Y,'0317 4度C'!$A:$A,"新豐1線",'0317 4度C'!$B:$B,"平均")</f>
        <v>0</v>
      </c>
      <c r="J18" s="87">
        <f>SUMIFS('0317 4度C'!$Y:$Y,'0317 4度C'!$A:$A,"新豐10線",'0317 4度C'!$B:$B,"平均")</f>
        <v>0</v>
      </c>
      <c r="K18" s="88">
        <f>SUMIFS('0317 4度C'!$Y:$Y,'0317 4度C'!$A:$A,"新豐8線",'0317 4度C'!$B:$B,"平均")</f>
        <v>0</v>
      </c>
      <c r="L18" s="86">
        <f>SUMIFS('0317 4度C'!$Y:$Y,'0317 4度C'!$A:$A,"新豐9線",'0317 4度C'!$B:$B,"平均")</f>
        <v>0</v>
      </c>
      <c r="M18" s="87">
        <f>SUMIFS('0317 4度C'!$Y:$Y,'0317 4度C'!$A:$A,"新豐4線",'0317 4度C'!$B:$B,"平均")</f>
        <v>0</v>
      </c>
    </row>
    <row r="19" spans="2:13" ht="17.25" customHeight="1">
      <c r="B19" s="102"/>
      <c r="C19" s="84" t="s">
        <v>1451</v>
      </c>
      <c r="D19" s="85">
        <f>SUMIFS('0317 4度C'!$Z:$Z,'0317 4度C'!$A:$A,"新豐6線",'0317 4度C'!$B:$B,"平均")</f>
        <v>0</v>
      </c>
      <c r="E19" s="86">
        <f>SUMIFS('0317 4度C'!$Z:$Z,'0317 4度C'!$A:$A,"新豐2線",'0317 4度C'!$B:$B,"平均")</f>
        <v>0</v>
      </c>
      <c r="F19" s="86">
        <f>SUMIFS('0317 4度C'!$Z:$Z,'0317 4度C'!$A:$A,"新豐5線",'0317 4度C'!$B:$B,"平均")</f>
        <v>0</v>
      </c>
      <c r="G19" s="86">
        <f>SUMIFS('0317 4度C'!$Z:$Z,'0317 4度C'!$A:$A,"新豐7線",'0317 4度C'!$B:$B,"平均")</f>
        <v>0</v>
      </c>
      <c r="H19" s="86">
        <f>SUMIFS('0317 4度C'!$Z:$Z,'0317 4度C'!$A:$A,"新豐3線",'0317 4度C'!$B:$B,"平均")</f>
        <v>0</v>
      </c>
      <c r="I19" s="86">
        <f>SUMIFS('0317 4度C'!$Z:$Z,'0317 4度C'!$A:$A,"新豐1線",'0317 4度C'!$B:$B,"平均")</f>
        <v>0</v>
      </c>
      <c r="J19" s="87">
        <f>SUMIFS('0317 4度C'!$Z:$Z,'0317 4度C'!$A:$A,"新豐10線",'0317 4度C'!$B:$B,"平均")</f>
        <v>0</v>
      </c>
      <c r="K19" s="88">
        <f>SUMIFS('0317 4度C'!$Z:$Z,'0317 4度C'!$A:$A,"新豐8線",'0317 4度C'!$B:$B,"平均")</f>
        <v>0</v>
      </c>
      <c r="L19" s="86">
        <f>SUMIFS('0317 4度C'!$Z:$Z,'0317 4度C'!$A:$A,"新豐9線",'0317 4度C'!$B:$B,"平均")</f>
        <v>0</v>
      </c>
      <c r="M19" s="87">
        <f>SUMIFS('0317 4度C'!$Z:$Z,'0317 4度C'!$A:$A,"新豐4線",'0317 4度C'!$B:$B,"平均")</f>
        <v>0</v>
      </c>
    </row>
    <row r="20" spans="2:13" ht="17.25" customHeight="1">
      <c r="B20" s="101" t="s">
        <v>1016</v>
      </c>
      <c r="C20" s="84" t="s">
        <v>1450</v>
      </c>
      <c r="D20" s="85">
        <f>SUMIFS('0317 4度C'!$AC:$AC,'0317 4度C'!$A:$A,"新豐6線",'0317 4度C'!$B:$B,"平均")</f>
        <v>5</v>
      </c>
      <c r="E20" s="86">
        <f>SUMIFS('0317 4度C'!$AC:$AC,'0317 4度C'!$A:$A,"新豐2線",'0317 4度C'!$B:$B,"平均")</f>
        <v>3</v>
      </c>
      <c r="F20" s="86">
        <f>SUMIFS('0317 4度C'!$AC:$AC,'0317 4度C'!$A:$A,"新豐5線",'0317 4度C'!$B:$B,"平均")</f>
        <v>4</v>
      </c>
      <c r="G20" s="86">
        <f>SUMIFS('0317 4度C'!$AC:$AC,'0317 4度C'!$A:$A,"新豐7線",'0317 4度C'!$B:$B,"平均")</f>
        <v>5</v>
      </c>
      <c r="H20" s="86">
        <f>SUMIFS('0317 4度C'!$AC:$AC,'0317 4度C'!$A:$A,"新豐3線",'0317 4度C'!$B:$B,"平均")</f>
        <v>10</v>
      </c>
      <c r="I20" s="86">
        <f>SUMIFS('0317 4度C'!$AC:$AC,'0317 4度C'!$A:$A,"新豐1線",'0317 4度C'!$B:$B,"平均")</f>
        <v>9</v>
      </c>
      <c r="J20" s="87">
        <f>SUMIFS('0317 4度C'!$AC:$AC,'0317 4度C'!$A:$A,"新豐10線",'0317 4度C'!$B:$B,"平均")</f>
        <v>3</v>
      </c>
      <c r="K20" s="88">
        <f>SUMIFS('0317 4度C'!$AC:$AC,'0317 4度C'!$A:$A,"新豐8線",'0317 4度C'!$B:$B,"平均")</f>
        <v>7</v>
      </c>
      <c r="L20" s="86">
        <f>SUMIFS('0317 4度C'!$AC:$AC,'0317 4度C'!$A:$A,"新豐9線",'0317 4度C'!$B:$B,"平均")</f>
        <v>7</v>
      </c>
      <c r="M20" s="87">
        <f>SUMIFS('0317 4度C'!$AC:$AC,'0317 4度C'!$A:$A,"新豐4線",'0317 4度C'!$B:$B,"平均")</f>
        <v>6</v>
      </c>
    </row>
    <row r="21" spans="2:13" ht="17.25" customHeight="1">
      <c r="B21" s="102"/>
      <c r="C21" s="84" t="s">
        <v>1452</v>
      </c>
      <c r="D21" s="85">
        <f>SUMIFS('0317 4度C'!$AD:$AD,'0317 4度C'!$A:$A,"新豐6線",'0317 4度C'!$B:$B,"平均")</f>
        <v>0</v>
      </c>
      <c r="E21" s="86">
        <f>SUMIFS('0317 4度C'!$AD:$AD,'0317 4度C'!$A:$A,"新豐2線",'0317 4度C'!$B:$B,"平均")</f>
        <v>0</v>
      </c>
      <c r="F21" s="86">
        <f>SUMIFS('0317 4度C'!$AD:$AD,'0317 4度C'!$A:$A,"新豐5線",'0317 4度C'!$B:$B,"平均")</f>
        <v>0</v>
      </c>
      <c r="G21" s="86">
        <f>SUMIFS('0317 4度C'!$AD:$AD,'0317 4度C'!$A:$A,"新豐7線",'0317 4度C'!$B:$B,"平均")</f>
        <v>0</v>
      </c>
      <c r="H21" s="86">
        <f>SUMIFS('0317 4度C'!$AD:$AD,'0317 4度C'!$A:$A,"新豐3線",'0317 4度C'!$B:$B,"平均")</f>
        <v>0</v>
      </c>
      <c r="I21" s="86">
        <f>SUMIFS('0317 4度C'!$AD:$AD,'0317 4度C'!$A:$A,"新豐1線",'0317 4度C'!$B:$B,"平均")</f>
        <v>0</v>
      </c>
      <c r="J21" s="87">
        <f>SUMIFS('0317 4度C'!$AD:$AD,'0317 4度C'!$A:$A,"新豐10線",'0317 4度C'!$B:$B,"平均")</f>
        <v>0</v>
      </c>
      <c r="K21" s="88">
        <f>SUMIFS('0317 4度C'!$AD:$AD,'0317 4度C'!$A:$A,"新豐8線",'0317 4度C'!$B:$B,"平均")</f>
        <v>0</v>
      </c>
      <c r="L21" s="86">
        <f>SUMIFS('0317 4度C'!$AD:$AD,'0317 4度C'!$A:$A,"新豐9線",'0317 4度C'!$B:$B,"平均")</f>
        <v>0</v>
      </c>
      <c r="M21" s="87">
        <f>SUMIFS('0317 4度C'!$AD:$AD,'0317 4度C'!$A:$A,"新豐4線",'0317 4度C'!$B:$B,"平均")</f>
        <v>0</v>
      </c>
    </row>
    <row r="22" spans="2:13" ht="17.25" customHeight="1">
      <c r="B22" s="103" t="s">
        <v>1453</v>
      </c>
      <c r="C22" s="104"/>
      <c r="D22" s="89">
        <f>SUMIFS('0317 4度C'!$I:$I,'0317 4度C'!$A:$A,"新豐6線",'0317 4度C'!$B:$B,"平均")</f>
        <v>17.600000000000001</v>
      </c>
      <c r="E22" s="90">
        <f>SUMIFS('0317 4度C'!$I:$I,'0317 4度C'!$A:$A,"新豐2線",'0317 4度C'!$B:$B,"平均")</f>
        <v>17.666666666666668</v>
      </c>
      <c r="F22" s="90">
        <f>SUMIFS('0317 4度C'!$I:$I,'0317 4度C'!$A:$A,"新豐5線",'0317 4度C'!$B:$B,"平均")</f>
        <v>18.25</v>
      </c>
      <c r="G22" s="90">
        <f>SUMIFS('0317 4度C'!$I:$I,'0317 4度C'!$A:$A,"新豐7線",'0317 4度C'!$B:$B,"平均")</f>
        <v>14.8</v>
      </c>
      <c r="H22" s="90">
        <f>SUMIFS('0317 4度C'!$I:$I,'0317 4度C'!$A:$A,"新豐3線",'0317 4度C'!$B:$B,"平均")</f>
        <v>9.3000000000000007</v>
      </c>
      <c r="I22" s="90">
        <f>SUMIFS('0317 4度C'!$I:$I,'0317 4度C'!$A:$A,"新豐1線",'0317 4度C'!$B:$B,"平均")</f>
        <v>18.666666666666668</v>
      </c>
      <c r="J22" s="91">
        <f>SUMIFS('0317 4度C'!$I:$I,'0317 4度C'!$A:$A,"新豐10線",'0317 4度C'!$B:$B,"平均")</f>
        <v>10.666666666666666</v>
      </c>
      <c r="K22" s="89">
        <f>SUMIFS('0317 4度C'!$I:$I,'0317 4度C'!$A:$A,"新豐8線",'0317 4度C'!$B:$B,"平均")</f>
        <v>18.571428571428573</v>
      </c>
      <c r="L22" s="90">
        <f>SUMIFS('0317 4度C'!$I:$I,'0317 4度C'!$A:$A,"新豐9線",'0317 4度C'!$B:$B,"平均")</f>
        <v>17.857142857142858</v>
      </c>
      <c r="M22" s="91">
        <f>SUMIFS('0317 4度C'!$I:$I,'0317 4度C'!$A:$A,"新豐4線",'0317 4度C'!$B:$B,"平均")</f>
        <v>15.166666666666666</v>
      </c>
    </row>
    <row r="23" spans="2:13" ht="17.25" customHeight="1">
      <c r="B23" s="103" t="s">
        <v>1454</v>
      </c>
      <c r="C23" s="104"/>
      <c r="D23" s="92" t="s">
        <v>185</v>
      </c>
      <c r="E23" s="93" t="s">
        <v>186</v>
      </c>
      <c r="F23" s="93" t="s">
        <v>1455</v>
      </c>
      <c r="G23" s="93" t="s">
        <v>544</v>
      </c>
      <c r="H23" s="93" t="s">
        <v>188</v>
      </c>
      <c r="I23" s="93" t="s">
        <v>185</v>
      </c>
      <c r="J23" s="94" t="s">
        <v>188</v>
      </c>
      <c r="K23" s="92" t="s">
        <v>1456</v>
      </c>
      <c r="L23" s="93" t="s">
        <v>1456</v>
      </c>
      <c r="M23" s="94" t="s">
        <v>1456</v>
      </c>
    </row>
    <row r="24" spans="2:13" ht="17.25" customHeight="1">
      <c r="B24" s="103" t="s">
        <v>1457</v>
      </c>
      <c r="C24" s="104"/>
      <c r="D24" s="92"/>
      <c r="E24" s="93"/>
      <c r="F24" s="93" t="s">
        <v>1458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1459</v>
      </c>
      <c r="C25" s="106"/>
      <c r="D25" s="95"/>
      <c r="E25" s="96" t="s">
        <v>1460</v>
      </c>
      <c r="F25" s="99" t="s">
        <v>194</v>
      </c>
      <c r="G25" s="100"/>
      <c r="H25" s="96" t="s">
        <v>195</v>
      </c>
      <c r="I25" s="96" t="s">
        <v>1461</v>
      </c>
      <c r="J25" s="97" t="s">
        <v>1462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J13" sqref="J13"/>
      <selection pane="bottomLeft" activeCell="AC66" sqref="AC66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1463</v>
      </c>
      <c r="B1" s="1"/>
      <c r="C1" s="2" t="s">
        <v>1</v>
      </c>
      <c r="D1" s="3">
        <f>SUM(F5:F73)</f>
        <v>172830</v>
      </c>
      <c r="E1" s="4" t="s">
        <v>1464</v>
      </c>
      <c r="F1" s="1">
        <f>SUM(G5:G73)</f>
        <v>5739385.2699999996</v>
      </c>
      <c r="G1" s="1" t="s">
        <v>3</v>
      </c>
      <c r="H1" s="5">
        <f>L10+L14+L52+L62+L19+L66+L33+L41+L25+L73</f>
        <v>158.54523809523809</v>
      </c>
      <c r="I1" s="212" t="s">
        <v>4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1465</v>
      </c>
      <c r="T1" s="212"/>
      <c r="U1" s="212"/>
      <c r="V1" s="212"/>
      <c r="W1" s="212"/>
      <c r="X1" s="212"/>
      <c r="Y1" s="6" t="s">
        <v>1466</v>
      </c>
      <c r="Z1" s="7" t="s">
        <v>1467</v>
      </c>
      <c r="AA1" s="213" t="s">
        <v>1468</v>
      </c>
      <c r="AB1" s="213"/>
      <c r="AC1" s="42" t="s">
        <v>1466</v>
      </c>
      <c r="AD1" s="7" t="s">
        <v>1469</v>
      </c>
      <c r="AE1" s="212" t="s">
        <v>465</v>
      </c>
      <c r="AF1" s="214"/>
      <c r="AG1" s="214"/>
    </row>
    <row r="2" spans="1:33" ht="26.25" customHeight="1">
      <c r="A2" s="33">
        <v>46098</v>
      </c>
      <c r="B2" s="34" t="s">
        <v>303</v>
      </c>
      <c r="C2" s="2" t="s">
        <v>1470</v>
      </c>
      <c r="D2" s="9">
        <f>AVERAGE(N10,N14,N52,N62,N19,N66,N25,N33,N41,N73)</f>
        <v>146.52137617678795</v>
      </c>
      <c r="E2" s="10" t="s">
        <v>14</v>
      </c>
      <c r="F2" s="11">
        <f>F1/D1</f>
        <v>33.208269802696286</v>
      </c>
      <c r="G2" s="1" t="s">
        <v>467</v>
      </c>
      <c r="H2" s="12">
        <f>COUNT(H5:H73)</f>
        <v>10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SUM(Y10+Y14+Y19+Y25+Y33+Y41+Y52+Y62+Y66+Y73)</f>
        <v>0</v>
      </c>
      <c r="Z2" s="13">
        <f>SUM(Z10+Z14+Z19+Z25+Z33+Z41+Z52+Z62+Z66+Z73)</f>
        <v>0</v>
      </c>
      <c r="AA2" s="213"/>
      <c r="AB2" s="213"/>
      <c r="AC2" s="13">
        <v>59</v>
      </c>
      <c r="AD2" s="13">
        <f>SUM(AD10+AD14+AD19+AD25+AD33+AD41+AD52+AD62+AD66+AD73)</f>
        <v>0</v>
      </c>
      <c r="AE2" s="214"/>
      <c r="AF2" s="214"/>
      <c r="AG2" s="214"/>
    </row>
    <row r="3" spans="1:33" ht="40.5" customHeight="1">
      <c r="A3" s="162" t="s">
        <v>1471</v>
      </c>
      <c r="B3" s="162" t="s">
        <v>1472</v>
      </c>
      <c r="C3" s="162" t="s">
        <v>1473</v>
      </c>
      <c r="D3" s="162"/>
      <c r="E3" s="210" t="s">
        <v>1474</v>
      </c>
      <c r="F3" s="162" t="s">
        <v>1475</v>
      </c>
      <c r="G3" s="210" t="s">
        <v>1476</v>
      </c>
      <c r="H3" s="204" t="s">
        <v>1477</v>
      </c>
      <c r="I3" s="202" t="s">
        <v>1478</v>
      </c>
      <c r="J3" s="199" t="s">
        <v>24</v>
      </c>
      <c r="K3" s="209" t="s">
        <v>1479</v>
      </c>
      <c r="L3" s="202" t="s">
        <v>1480</v>
      </c>
      <c r="M3" s="199" t="s">
        <v>1481</v>
      </c>
      <c r="N3" s="209" t="s">
        <v>13</v>
      </c>
      <c r="O3" s="202" t="s">
        <v>1478</v>
      </c>
      <c r="P3" s="209" t="s">
        <v>1479</v>
      </c>
      <c r="Q3" s="200" t="s">
        <v>1482</v>
      </c>
      <c r="R3" s="178" t="s">
        <v>1483</v>
      </c>
      <c r="S3" s="162" t="s">
        <v>27</v>
      </c>
      <c r="T3" s="162"/>
      <c r="U3" s="204" t="s">
        <v>28</v>
      </c>
      <c r="V3" s="204" t="s">
        <v>1484</v>
      </c>
      <c r="W3" s="162" t="s">
        <v>30</v>
      </c>
      <c r="X3" s="162"/>
      <c r="Y3" s="205" t="s">
        <v>1485</v>
      </c>
      <c r="Z3" s="166"/>
      <c r="AA3" s="206" t="s">
        <v>1486</v>
      </c>
      <c r="AB3" s="207"/>
      <c r="AC3" s="205" t="s">
        <v>484</v>
      </c>
      <c r="AD3" s="166"/>
      <c r="AE3" s="199" t="s">
        <v>1487</v>
      </c>
      <c r="AF3" s="200" t="s">
        <v>1488</v>
      </c>
      <c r="AG3" s="178" t="s">
        <v>1483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1489</v>
      </c>
      <c r="X4" s="4" t="s">
        <v>1490</v>
      </c>
      <c r="Y4" s="14" t="s">
        <v>1491</v>
      </c>
      <c r="Z4" s="14" t="s">
        <v>1492</v>
      </c>
      <c r="AA4" s="208"/>
      <c r="AB4" s="207"/>
      <c r="AC4" s="14" t="s">
        <v>43</v>
      </c>
      <c r="AD4" s="14" t="s">
        <v>1493</v>
      </c>
      <c r="AE4" s="199"/>
      <c r="AF4" s="200"/>
      <c r="AG4" s="178"/>
    </row>
    <row r="5" spans="1:33">
      <c r="A5" s="201" t="s">
        <v>1494</v>
      </c>
      <c r="B5" s="35" t="s">
        <v>78</v>
      </c>
      <c r="C5" s="203" t="s">
        <v>79</v>
      </c>
      <c r="D5" s="203"/>
      <c r="E5" s="35">
        <v>50.67</v>
      </c>
      <c r="F5" s="4">
        <v>1561</v>
      </c>
      <c r="G5" s="4">
        <f t="shared" ref="G5:G9" si="0">E5*F5</f>
        <v>79095.87000000001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1911.4285714285718</v>
      </c>
      <c r="N5" s="16">
        <f t="shared" ref="N5:N68" si="3">M5/L5</f>
        <v>112.43697478991599</v>
      </c>
      <c r="O5" s="18">
        <f t="shared" ref="O5:O68" si="4">L5-I5</f>
        <v>0</v>
      </c>
      <c r="P5" s="19">
        <f t="shared" ref="P5:P68" si="5">N5-K5</f>
        <v>-5.2100840336134127</v>
      </c>
      <c r="Q5" s="20">
        <f t="shared" ref="Q5:Q68" si="6">N5/K5</f>
        <v>0.95571428571428596</v>
      </c>
      <c r="R5" s="170">
        <f>Q10</f>
        <v>0.96795446353478476</v>
      </c>
      <c r="S5" s="27">
        <v>0.70833333333333337</v>
      </c>
      <c r="T5" s="27">
        <v>0.74236111111111114</v>
      </c>
      <c r="U5" s="4"/>
      <c r="V5" s="21">
        <f t="shared" ref="V5:V9" si="7">(T5-S5)*24*60</f>
        <v>48.999999999999986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1" si="8">M5-J5</f>
        <v>-88.571428571428214</v>
      </c>
      <c r="AF5" s="20">
        <f t="shared" ref="AF5:AF68" si="9">M5/J5</f>
        <v>0.95571428571428585</v>
      </c>
      <c r="AG5" s="170">
        <f>AF10</f>
        <v>0.96795446353478476</v>
      </c>
    </row>
    <row r="6" spans="1:33">
      <c r="A6" s="202" t="s">
        <v>1494</v>
      </c>
      <c r="B6" s="35" t="s">
        <v>78</v>
      </c>
      <c r="C6" s="203" t="s">
        <v>80</v>
      </c>
      <c r="D6" s="203"/>
      <c r="E6" s="35">
        <v>54.09</v>
      </c>
      <c r="F6" s="4">
        <v>1306</v>
      </c>
      <c r="G6" s="4">
        <f t="shared" si="0"/>
        <v>70641.540000000008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1911.2195121951213</v>
      </c>
      <c r="N6" s="16">
        <f t="shared" si="3"/>
        <v>100.59050064184849</v>
      </c>
      <c r="O6" s="18">
        <f t="shared" si="4"/>
        <v>0</v>
      </c>
      <c r="P6" s="19">
        <f t="shared" si="5"/>
        <v>-4.6726572528883423</v>
      </c>
      <c r="Q6" s="20">
        <f t="shared" si="6"/>
        <v>0.95560975609756071</v>
      </c>
      <c r="R6" s="170"/>
      <c r="S6" s="27">
        <v>0.74722222222222223</v>
      </c>
      <c r="T6" s="27">
        <v>0.77569444444444446</v>
      </c>
      <c r="U6" s="4">
        <f t="shared" ref="U6:U9" si="10">IF(S6=TIME(17,0,0),"",(S6-T5)*24*60)</f>
        <v>6.9999999999999751</v>
      </c>
      <c r="V6" s="21">
        <f t="shared" si="7"/>
        <v>41.000000000000014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-88.780487804878703</v>
      </c>
      <c r="AF6" s="20">
        <f t="shared" si="9"/>
        <v>0.9556097560975606</v>
      </c>
      <c r="AG6" s="170"/>
    </row>
    <row r="7" spans="1:33">
      <c r="A7" s="202" t="s">
        <v>1494</v>
      </c>
      <c r="B7" s="35" t="s">
        <v>78</v>
      </c>
      <c r="C7" s="197" t="s">
        <v>81</v>
      </c>
      <c r="D7" s="198"/>
      <c r="E7" s="35">
        <v>50.29</v>
      </c>
      <c r="F7" s="4">
        <v>231</v>
      </c>
      <c r="G7" s="4">
        <f t="shared" si="0"/>
        <v>11616.99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1980.0000000000068</v>
      </c>
      <c r="N7" s="16">
        <f t="shared" si="3"/>
        <v>123.75000000000043</v>
      </c>
      <c r="O7" s="18">
        <f t="shared" si="4"/>
        <v>0</v>
      </c>
      <c r="P7" s="19">
        <f t="shared" si="5"/>
        <v>-1.2499999999995737</v>
      </c>
      <c r="Q7" s="20">
        <f t="shared" si="6"/>
        <v>0.99000000000000343</v>
      </c>
      <c r="R7" s="170"/>
      <c r="S7" s="27">
        <v>0.77986111111111112</v>
      </c>
      <c r="T7" s="27">
        <v>0.78472222222222221</v>
      </c>
      <c r="U7" s="4">
        <f t="shared" si="10"/>
        <v>5.9999999999999787</v>
      </c>
      <c r="V7" s="21">
        <f t="shared" si="7"/>
        <v>6.9999999999999751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-19.999999999993179</v>
      </c>
      <c r="AF7" s="20">
        <f t="shared" si="9"/>
        <v>0.99000000000000343</v>
      </c>
      <c r="AG7" s="170"/>
    </row>
    <row r="8" spans="1:33">
      <c r="A8" s="202" t="s">
        <v>1495</v>
      </c>
      <c r="B8" s="35" t="s">
        <v>78</v>
      </c>
      <c r="C8" s="197" t="s">
        <v>82</v>
      </c>
      <c r="D8" s="198"/>
      <c r="E8" s="35">
        <v>50.67</v>
      </c>
      <c r="F8" s="4">
        <v>392</v>
      </c>
      <c r="G8" s="4">
        <f t="shared" si="0"/>
        <v>19862.64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1960.000000000007</v>
      </c>
      <c r="N8" s="16">
        <f t="shared" si="3"/>
        <v>93.33333333333367</v>
      </c>
      <c r="O8" s="18">
        <f t="shared" si="4"/>
        <v>0</v>
      </c>
      <c r="P8" s="19">
        <f t="shared" si="5"/>
        <v>-1.9047619047615711</v>
      </c>
      <c r="Q8" s="20">
        <f t="shared" si="6"/>
        <v>0.98000000000000353</v>
      </c>
      <c r="R8" s="170"/>
      <c r="S8" s="27">
        <v>0.78819444444444442</v>
      </c>
      <c r="T8" s="27">
        <v>0.79652777777777772</v>
      </c>
      <c r="U8" s="4">
        <f t="shared" si="10"/>
        <v>4.9999999999999822</v>
      </c>
      <c r="V8" s="21">
        <f t="shared" si="7"/>
        <v>11.999999999999957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-39.999999999992951</v>
      </c>
      <c r="AF8" s="20">
        <f t="shared" si="9"/>
        <v>0.98000000000000353</v>
      </c>
      <c r="AG8" s="170"/>
    </row>
    <row r="9" spans="1:33">
      <c r="A9" s="202" t="s">
        <v>1496</v>
      </c>
      <c r="B9" s="35" t="s">
        <v>78</v>
      </c>
      <c r="C9" s="197" t="s">
        <v>91</v>
      </c>
      <c r="D9" s="198"/>
      <c r="E9" s="35">
        <v>50.67</v>
      </c>
      <c r="F9" s="4">
        <v>1853</v>
      </c>
      <c r="G9" s="4">
        <f t="shared" si="0"/>
        <v>93891.510000000009</v>
      </c>
      <c r="H9" s="21" t="s">
        <v>133</v>
      </c>
      <c r="I9" s="15">
        <v>15</v>
      </c>
      <c r="J9" s="17">
        <v>2000</v>
      </c>
      <c r="K9" s="16">
        <f t="shared" si="1"/>
        <v>133.33333333333334</v>
      </c>
      <c r="L9" s="15">
        <v>15</v>
      </c>
      <c r="M9" s="17">
        <f t="shared" si="2"/>
        <v>1916.8965517241393</v>
      </c>
      <c r="N9" s="16">
        <f t="shared" si="3"/>
        <v>127.79310344827596</v>
      </c>
      <c r="O9" s="18">
        <f t="shared" si="4"/>
        <v>0</v>
      </c>
      <c r="P9" s="19">
        <f t="shared" si="5"/>
        <v>-5.5402298850573857</v>
      </c>
      <c r="Q9" s="20">
        <f t="shared" si="6"/>
        <v>0.9584482758620696</v>
      </c>
      <c r="R9" s="170"/>
      <c r="S9" s="27">
        <v>0.80069444444444438</v>
      </c>
      <c r="T9" s="27">
        <v>0.84097222222222212</v>
      </c>
      <c r="U9" s="4">
        <f t="shared" si="10"/>
        <v>5.9999999999999787</v>
      </c>
      <c r="V9" s="21">
        <f t="shared" si="7"/>
        <v>57.999999999999957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-83.103448275860728</v>
      </c>
      <c r="AF9" s="20">
        <f t="shared" si="9"/>
        <v>0.9584482758620696</v>
      </c>
      <c r="AG9" s="170"/>
    </row>
    <row r="10" spans="1:33">
      <c r="A10" s="202" t="s">
        <v>1496</v>
      </c>
      <c r="B10" s="35" t="s">
        <v>48</v>
      </c>
      <c r="C10" s="171"/>
      <c r="D10" s="171"/>
      <c r="E10" s="36"/>
      <c r="F10" s="16"/>
      <c r="G10" s="16"/>
      <c r="H10" s="4"/>
      <c r="I10" s="29">
        <v>17.600000000000001</v>
      </c>
      <c r="J10" s="17">
        <v>2000</v>
      </c>
      <c r="K10" s="16">
        <f t="shared" si="1"/>
        <v>113.63636363636363</v>
      </c>
      <c r="L10" s="29">
        <v>17.600000000000001</v>
      </c>
      <c r="M10" s="17">
        <f>AVERAGE(M5:M9)</f>
        <v>1935.9089270695695</v>
      </c>
      <c r="N10" s="16">
        <f t="shared" si="3"/>
        <v>109.99482540168007</v>
      </c>
      <c r="O10" s="18">
        <f t="shared" si="4"/>
        <v>0</v>
      </c>
      <c r="P10" s="19">
        <f t="shared" si="5"/>
        <v>-3.6415382346835514</v>
      </c>
      <c r="Q10" s="20">
        <f t="shared" si="6"/>
        <v>0.96795446353478476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-64.091072930430528</v>
      </c>
      <c r="AF10" s="20">
        <f t="shared" si="9"/>
        <v>0.96795446353478476</v>
      </c>
      <c r="AG10" s="170"/>
    </row>
    <row r="11" spans="1:33" ht="15.75" customHeight="1">
      <c r="A11" s="196" t="s">
        <v>1497</v>
      </c>
      <c r="B11" s="35" t="s">
        <v>84</v>
      </c>
      <c r="C11" s="197" t="s">
        <v>85</v>
      </c>
      <c r="D11" s="198"/>
      <c r="E11" s="35">
        <v>39.619999999999997</v>
      </c>
      <c r="F11" s="4">
        <v>4645</v>
      </c>
      <c r="G11" s="4">
        <f t="shared" ref="G11:G13" si="11">E11*F11</f>
        <v>184034.9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3" si="12">F11/V11*60</f>
        <v>1429.2307692307693</v>
      </c>
      <c r="N11" s="16">
        <f t="shared" si="3"/>
        <v>75.222672064777328</v>
      </c>
      <c r="O11" s="18">
        <f t="shared" si="4"/>
        <v>0</v>
      </c>
      <c r="P11" s="19">
        <f t="shared" si="5"/>
        <v>-3.7246963562753024</v>
      </c>
      <c r="Q11" s="20">
        <f t="shared" si="6"/>
        <v>0.95282051282051283</v>
      </c>
      <c r="R11" s="170">
        <f>Q14</f>
        <v>0.95535797003422895</v>
      </c>
      <c r="S11" s="27">
        <v>0.20833333333333334</v>
      </c>
      <c r="T11" s="27">
        <v>0.34375</v>
      </c>
      <c r="U11" s="4"/>
      <c r="V11" s="21">
        <f t="shared" ref="V11:V13" si="13">(T11-S11)*24*60</f>
        <v>195</v>
      </c>
      <c r="W11" s="22"/>
      <c r="X11" s="22"/>
      <c r="Y11" s="22"/>
      <c r="Z11" s="22"/>
      <c r="AA11" s="162"/>
      <c r="AB11" s="162"/>
      <c r="AC11" s="24">
        <v>3</v>
      </c>
      <c r="AD11" s="24"/>
      <c r="AE11" s="18">
        <f t="shared" si="8"/>
        <v>-70.769230769230717</v>
      </c>
      <c r="AF11" s="20">
        <f t="shared" si="9"/>
        <v>0.95282051282051283</v>
      </c>
      <c r="AG11" s="170">
        <f>AF14</f>
        <v>0.95535797003422895</v>
      </c>
    </row>
    <row r="12" spans="1:33" ht="15.75" customHeight="1">
      <c r="A12" s="196" t="s">
        <v>1498</v>
      </c>
      <c r="B12" s="35" t="s">
        <v>84</v>
      </c>
      <c r="C12" s="197" t="s">
        <v>86</v>
      </c>
      <c r="D12" s="198"/>
      <c r="E12" s="35">
        <v>39.799999999999997</v>
      </c>
      <c r="F12" s="4">
        <v>4300</v>
      </c>
      <c r="G12" s="4">
        <f t="shared" si="11"/>
        <v>171140</v>
      </c>
      <c r="H12" s="21">
        <v>2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1433.3333333333333</v>
      </c>
      <c r="N12" s="16">
        <f t="shared" si="3"/>
        <v>84.313725490196077</v>
      </c>
      <c r="O12" s="18">
        <f t="shared" si="4"/>
        <v>0</v>
      </c>
      <c r="P12" s="19">
        <f t="shared" si="5"/>
        <v>-3.9215686274509807</v>
      </c>
      <c r="Q12" s="20">
        <f t="shared" si="6"/>
        <v>0.9555555555555556</v>
      </c>
      <c r="R12" s="170"/>
      <c r="S12" s="27">
        <v>0.34722222222222221</v>
      </c>
      <c r="T12" s="27">
        <v>0.47222222222222221</v>
      </c>
      <c r="U12" s="4">
        <f t="shared" ref="U12:U13" si="14">IF(S12=TIME(17,0,0),"",(S12-T11)*24*60)</f>
        <v>4.9999999999999822</v>
      </c>
      <c r="V12" s="21">
        <f t="shared" si="13"/>
        <v>180</v>
      </c>
      <c r="W12" s="22">
        <f>T12</f>
        <v>0.47222222222222221</v>
      </c>
      <c r="X12" s="22">
        <f>S13</f>
        <v>0.5131944444444444</v>
      </c>
      <c r="Y12" s="22"/>
      <c r="Z12" s="22"/>
      <c r="AA12" s="162"/>
      <c r="AB12" s="162"/>
      <c r="AC12" s="24"/>
      <c r="AD12" s="24"/>
      <c r="AE12" s="18">
        <f t="shared" si="8"/>
        <v>-66.666666666666742</v>
      </c>
      <c r="AF12" s="20">
        <f t="shared" si="9"/>
        <v>0.95555555555555549</v>
      </c>
      <c r="AG12" s="170"/>
    </row>
    <row r="13" spans="1:33" ht="15.75" customHeight="1">
      <c r="A13" s="196" t="s">
        <v>1499</v>
      </c>
      <c r="B13" s="35" t="s">
        <v>84</v>
      </c>
      <c r="C13" s="197" t="s">
        <v>86</v>
      </c>
      <c r="D13" s="198"/>
      <c r="E13" s="35">
        <v>39.799999999999997</v>
      </c>
      <c r="F13" s="4">
        <v>3328</v>
      </c>
      <c r="G13" s="4">
        <f t="shared" si="11"/>
        <v>132454.39999999999</v>
      </c>
      <c r="H13" s="21" t="s">
        <v>133</v>
      </c>
      <c r="I13" s="15">
        <v>17</v>
      </c>
      <c r="J13" s="17">
        <v>1500</v>
      </c>
      <c r="K13" s="16">
        <f t="shared" si="1"/>
        <v>88.235294117647058</v>
      </c>
      <c r="L13" s="15">
        <v>17</v>
      </c>
      <c r="M13" s="17">
        <f t="shared" si="12"/>
        <v>1436.546762589928</v>
      </c>
      <c r="N13" s="16">
        <f t="shared" si="3"/>
        <v>84.502750740584005</v>
      </c>
      <c r="O13" s="18">
        <f t="shared" si="4"/>
        <v>0</v>
      </c>
      <c r="P13" s="19">
        <f t="shared" si="5"/>
        <v>-3.7325433770630525</v>
      </c>
      <c r="Q13" s="20">
        <f t="shared" si="6"/>
        <v>0.95769784172661876</v>
      </c>
      <c r="R13" s="170"/>
      <c r="S13" s="27">
        <v>0.5131944444444444</v>
      </c>
      <c r="T13" s="27">
        <v>0.60972222222222217</v>
      </c>
      <c r="U13" s="4">
        <f t="shared" si="14"/>
        <v>58.99999999999995</v>
      </c>
      <c r="V13" s="21">
        <f t="shared" si="13"/>
        <v>139</v>
      </c>
      <c r="W13" s="22"/>
      <c r="X13" s="22"/>
      <c r="Y13" s="22"/>
      <c r="Z13" s="22"/>
      <c r="AA13" s="162"/>
      <c r="AB13" s="162"/>
      <c r="AC13" s="24"/>
      <c r="AD13" s="24"/>
      <c r="AE13" s="18">
        <f t="shared" si="8"/>
        <v>-63.453237410072006</v>
      </c>
      <c r="AF13" s="20">
        <f t="shared" si="9"/>
        <v>0.95769784172661865</v>
      </c>
      <c r="AG13" s="170"/>
    </row>
    <row r="14" spans="1:33" ht="16.5" customHeight="1">
      <c r="A14" s="196" t="s">
        <v>1497</v>
      </c>
      <c r="B14" s="35" t="s">
        <v>48</v>
      </c>
      <c r="C14" s="171"/>
      <c r="D14" s="171"/>
      <c r="E14" s="36"/>
      <c r="F14" s="17"/>
      <c r="G14" s="17"/>
      <c r="H14" s="4"/>
      <c r="I14" s="29">
        <v>17.666666666666668</v>
      </c>
      <c r="J14" s="17">
        <v>1500</v>
      </c>
      <c r="K14" s="16">
        <f t="shared" si="1"/>
        <v>84.905660377358487</v>
      </c>
      <c r="L14" s="29">
        <v>17.666666666666668</v>
      </c>
      <c r="M14" s="17">
        <f>AVERAGE(M11:M13)</f>
        <v>1433.0369550513435</v>
      </c>
      <c r="N14" s="16">
        <f t="shared" si="3"/>
        <v>81.115299342528871</v>
      </c>
      <c r="O14" s="18">
        <f t="shared" si="4"/>
        <v>0</v>
      </c>
      <c r="P14" s="19">
        <f t="shared" si="5"/>
        <v>-3.7903610348296155</v>
      </c>
      <c r="Q14" s="20">
        <f t="shared" si="6"/>
        <v>0.95535797003422895</v>
      </c>
      <c r="R14" s="170"/>
      <c r="S14" s="27"/>
      <c r="T14" s="27"/>
      <c r="U14" s="16"/>
      <c r="V14" s="21"/>
      <c r="W14" s="16"/>
      <c r="X14" s="16"/>
      <c r="Y14" s="30">
        <f>SUM(Y11:Y13)</f>
        <v>0</v>
      </c>
      <c r="Z14" s="30">
        <f>SUM(Z11:Z13)</f>
        <v>0</v>
      </c>
      <c r="AA14" s="166"/>
      <c r="AB14" s="166"/>
      <c r="AC14" s="30">
        <v>3</v>
      </c>
      <c r="AD14" s="30">
        <f>SUM(AD11:AD13)</f>
        <v>0</v>
      </c>
      <c r="AE14" s="18">
        <f t="shared" si="8"/>
        <v>-66.963044948656488</v>
      </c>
      <c r="AF14" s="20">
        <f t="shared" si="9"/>
        <v>0.95535797003422895</v>
      </c>
      <c r="AG14" s="170"/>
    </row>
    <row r="15" spans="1:33" ht="16.5" customHeight="1">
      <c r="A15" s="194" t="s">
        <v>1500</v>
      </c>
      <c r="B15" s="4" t="s">
        <v>87</v>
      </c>
      <c r="C15" s="190" t="s">
        <v>88</v>
      </c>
      <c r="D15" s="190"/>
      <c r="E15" s="35">
        <v>41</v>
      </c>
      <c r="F15" s="4">
        <v>3604</v>
      </c>
      <c r="G15" s="4">
        <f t="shared" ref="G15:G18" si="15">E15*F15</f>
        <v>147764</v>
      </c>
      <c r="H15" s="21" t="s">
        <v>133</v>
      </c>
      <c r="I15" s="15">
        <v>26</v>
      </c>
      <c r="J15" s="17">
        <v>1500</v>
      </c>
      <c r="K15" s="16">
        <f t="shared" si="1"/>
        <v>57.692307692307693</v>
      </c>
      <c r="L15" s="15">
        <v>26</v>
      </c>
      <c r="M15" s="17">
        <f t="shared" ref="M15:M18" si="16">F15/V15*60</f>
        <v>1432.0529801324503</v>
      </c>
      <c r="N15" s="16">
        <f t="shared" si="3"/>
        <v>55.078960774325012</v>
      </c>
      <c r="O15" s="18">
        <f t="shared" si="4"/>
        <v>0</v>
      </c>
      <c r="P15" s="19">
        <f t="shared" si="5"/>
        <v>-2.6133469179826818</v>
      </c>
      <c r="Q15" s="20">
        <f t="shared" si="6"/>
        <v>0.95470198675496687</v>
      </c>
      <c r="R15" s="170">
        <f>Q19</f>
        <v>0.96380153591459006</v>
      </c>
      <c r="S15" s="27">
        <v>0.20833333333333334</v>
      </c>
      <c r="T15" s="27">
        <v>0.31319444444444444</v>
      </c>
      <c r="U15" s="4"/>
      <c r="V15" s="21">
        <f t="shared" ref="V15:V18" si="17">(T15-S15)*24*60</f>
        <v>151</v>
      </c>
      <c r="W15" s="27"/>
      <c r="X15" s="27"/>
      <c r="Y15" s="27"/>
      <c r="Z15" s="27"/>
      <c r="AA15" s="162"/>
      <c r="AB15" s="162"/>
      <c r="AC15" s="24">
        <v>4</v>
      </c>
      <c r="AD15" s="24"/>
      <c r="AE15" s="18">
        <f t="shared" si="8"/>
        <v>-67.94701986754967</v>
      </c>
      <c r="AF15" s="20">
        <f t="shared" si="9"/>
        <v>0.95470198675496687</v>
      </c>
      <c r="AG15" s="170">
        <f>AF19</f>
        <v>0.96380153591458995</v>
      </c>
    </row>
    <row r="16" spans="1:33" ht="16.5" customHeight="1">
      <c r="A16" s="195" t="s">
        <v>1501</v>
      </c>
      <c r="B16" s="4" t="s">
        <v>78</v>
      </c>
      <c r="C16" s="190" t="s">
        <v>89</v>
      </c>
      <c r="D16" s="190"/>
      <c r="E16" s="35">
        <v>50.98</v>
      </c>
      <c r="F16" s="4">
        <v>2709</v>
      </c>
      <c r="G16" s="4">
        <f t="shared" si="15"/>
        <v>138104.81999999998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1912.2352941176466</v>
      </c>
      <c r="N16" s="16">
        <f t="shared" si="3"/>
        <v>119.51470588235291</v>
      </c>
      <c r="O16" s="18">
        <f t="shared" si="4"/>
        <v>0</v>
      </c>
      <c r="P16" s="19">
        <f t="shared" si="5"/>
        <v>-5.4852941176470864</v>
      </c>
      <c r="Q16" s="20">
        <f t="shared" si="6"/>
        <v>0.95611764705882329</v>
      </c>
      <c r="R16" s="170"/>
      <c r="S16" s="27">
        <v>0.70833333333333337</v>
      </c>
      <c r="T16" s="27">
        <v>0.76736111111111116</v>
      </c>
      <c r="U16" s="4" t="str">
        <f t="shared" ref="U16:U18" si="18">IF(S16=TIME(17,0,0),"",(S16-T15)*24*60)</f>
        <v/>
      </c>
      <c r="V16" s="21">
        <f t="shared" si="17"/>
        <v>85.000000000000014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-87.764705882353383</v>
      </c>
      <c r="AF16" s="20">
        <f t="shared" si="9"/>
        <v>0.95611764705882329</v>
      </c>
      <c r="AG16" s="170"/>
    </row>
    <row r="17" spans="1:33" ht="16.5" customHeight="1">
      <c r="A17" s="195" t="s">
        <v>1502</v>
      </c>
      <c r="B17" s="4" t="s">
        <v>78</v>
      </c>
      <c r="C17" s="190" t="s">
        <v>83</v>
      </c>
      <c r="D17" s="190"/>
      <c r="E17" s="35">
        <v>50.67</v>
      </c>
      <c r="F17" s="4">
        <v>723</v>
      </c>
      <c r="G17" s="4">
        <f t="shared" si="15"/>
        <v>36634.410000000003</v>
      </c>
      <c r="H17" s="21" t="s">
        <v>133</v>
      </c>
      <c r="I17" s="15">
        <v>16</v>
      </c>
      <c r="J17" s="17">
        <v>2000</v>
      </c>
      <c r="K17" s="16">
        <f t="shared" si="1"/>
        <v>125</v>
      </c>
      <c r="L17" s="15">
        <v>16</v>
      </c>
      <c r="M17" s="17">
        <f t="shared" si="16"/>
        <v>1971.8181818181888</v>
      </c>
      <c r="N17" s="16">
        <f t="shared" si="3"/>
        <v>123.2386363636368</v>
      </c>
      <c r="O17" s="18">
        <f t="shared" si="4"/>
        <v>0</v>
      </c>
      <c r="P17" s="19">
        <f t="shared" si="5"/>
        <v>-1.7613636363631997</v>
      </c>
      <c r="Q17" s="20">
        <f t="shared" si="6"/>
        <v>0.9859090909090944</v>
      </c>
      <c r="R17" s="170"/>
      <c r="S17" s="27">
        <v>0.77083333333333337</v>
      </c>
      <c r="T17" s="27">
        <v>0.78611111111111109</v>
      </c>
      <c r="U17" s="4">
        <f t="shared" si="18"/>
        <v>4.9999999999999822</v>
      </c>
      <c r="V17" s="21">
        <f t="shared" si="17"/>
        <v>21.999999999999922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-28.181818181811195</v>
      </c>
      <c r="AF17" s="20">
        <f t="shared" si="9"/>
        <v>0.9859090909090944</v>
      </c>
      <c r="AG17" s="170"/>
    </row>
    <row r="18" spans="1:33" ht="16.5" customHeight="1">
      <c r="A18" s="195" t="s">
        <v>1501</v>
      </c>
      <c r="B18" s="4" t="s">
        <v>78</v>
      </c>
      <c r="C18" s="190" t="s">
        <v>90</v>
      </c>
      <c r="D18" s="190"/>
      <c r="E18" s="35">
        <v>50.92</v>
      </c>
      <c r="F18" s="4">
        <v>2518</v>
      </c>
      <c r="G18" s="4">
        <f t="shared" si="15"/>
        <v>128216.56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1912.405063291138</v>
      </c>
      <c r="N18" s="16">
        <f t="shared" si="3"/>
        <v>127.49367088607588</v>
      </c>
      <c r="O18" s="18">
        <f t="shared" si="4"/>
        <v>0</v>
      </c>
      <c r="P18" s="19">
        <f t="shared" si="5"/>
        <v>-5.8396624472574672</v>
      </c>
      <c r="Q18" s="20">
        <f t="shared" si="6"/>
        <v>0.95620253164556901</v>
      </c>
      <c r="R18" s="170"/>
      <c r="S18" s="27">
        <v>0.79166666666666663</v>
      </c>
      <c r="T18" s="27">
        <v>0.84652777777777777</v>
      </c>
      <c r="U18" s="4">
        <f t="shared" si="18"/>
        <v>7.9999999999999716</v>
      </c>
      <c r="V18" s="21">
        <f t="shared" si="17"/>
        <v>79.000000000000043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-87.594936708861951</v>
      </c>
      <c r="AF18" s="20">
        <f t="shared" si="9"/>
        <v>0.95620253164556901</v>
      </c>
      <c r="AG18" s="170"/>
    </row>
    <row r="19" spans="1:33" ht="16.5" customHeight="1">
      <c r="A19" s="195" t="s">
        <v>50</v>
      </c>
      <c r="B19" s="35" t="s">
        <v>48</v>
      </c>
      <c r="C19" s="171"/>
      <c r="D19" s="171"/>
      <c r="E19" s="36"/>
      <c r="F19" s="16"/>
      <c r="G19" s="16"/>
      <c r="H19" s="4"/>
      <c r="I19" s="29">
        <v>18.25</v>
      </c>
      <c r="J19" s="17">
        <v>1875</v>
      </c>
      <c r="K19" s="16">
        <f t="shared" si="1"/>
        <v>102.73972602739725</v>
      </c>
      <c r="L19" s="29">
        <v>18.25</v>
      </c>
      <c r="M19" s="17">
        <f>AVERAGE(M15:M18)</f>
        <v>1807.1278798398562</v>
      </c>
      <c r="N19" s="16">
        <f t="shared" si="3"/>
        <v>99.020705744649661</v>
      </c>
      <c r="O19" s="18">
        <f t="shared" si="4"/>
        <v>0</v>
      </c>
      <c r="P19" s="19">
        <f t="shared" si="5"/>
        <v>-3.7190202827475929</v>
      </c>
      <c r="Q19" s="20">
        <f t="shared" si="6"/>
        <v>0.96380153591459006</v>
      </c>
      <c r="R19" s="170"/>
      <c r="S19" s="27"/>
      <c r="T19" s="27"/>
      <c r="U19" s="4"/>
      <c r="V19" s="21"/>
      <c r="W19" s="16"/>
      <c r="X19" s="16"/>
      <c r="Y19" s="30">
        <f>SUM(Y15:Y18)</f>
        <v>0</v>
      </c>
      <c r="Z19" s="30">
        <f>SUM(Z15:Z18)</f>
        <v>0</v>
      </c>
      <c r="AA19" s="166"/>
      <c r="AB19" s="166"/>
      <c r="AC19" s="30">
        <v>4</v>
      </c>
      <c r="AD19" s="30">
        <f>SUM(AD15:AD18)</f>
        <v>0</v>
      </c>
      <c r="AE19" s="18">
        <f t="shared" si="8"/>
        <v>-67.872120160143822</v>
      </c>
      <c r="AF19" s="20">
        <f t="shared" si="9"/>
        <v>0.96380153591458995</v>
      </c>
      <c r="AG19" s="170"/>
    </row>
    <row r="20" spans="1:33" ht="15.75" customHeight="1">
      <c r="A20" s="192" t="s">
        <v>1503</v>
      </c>
      <c r="B20" s="35" t="s">
        <v>78</v>
      </c>
      <c r="C20" s="190" t="s">
        <v>92</v>
      </c>
      <c r="D20" s="190"/>
      <c r="E20" s="35">
        <v>57.73</v>
      </c>
      <c r="F20" s="4">
        <v>2746</v>
      </c>
      <c r="G20" s="4">
        <f t="shared" ref="G20:G24" si="19">E20*F20</f>
        <v>158526.57999999999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4" si="20">F20/V20*60</f>
        <v>1915.8139534883728</v>
      </c>
      <c r="N20" s="16">
        <f t="shared" si="3"/>
        <v>136.84385382059807</v>
      </c>
      <c r="O20" s="18">
        <f t="shared" si="4"/>
        <v>0</v>
      </c>
      <c r="P20" s="19">
        <f t="shared" si="5"/>
        <v>-6.0132890365447906</v>
      </c>
      <c r="Q20" s="20">
        <f t="shared" si="6"/>
        <v>0.95790697674418646</v>
      </c>
      <c r="R20" s="170">
        <f>Q25</f>
        <v>0.96225198221716601</v>
      </c>
      <c r="S20" s="27">
        <v>0.20833333333333334</v>
      </c>
      <c r="T20" s="27">
        <v>0.26805555555555555</v>
      </c>
      <c r="U20" s="4"/>
      <c r="V20" s="21">
        <f t="shared" ref="V20:V24" si="21">(T20-S20)*24*60</f>
        <v>85.999999999999972</v>
      </c>
      <c r="W20" s="27"/>
      <c r="X20" s="27"/>
      <c r="Y20" s="27"/>
      <c r="Z20" s="27"/>
      <c r="AA20" s="162"/>
      <c r="AB20" s="162"/>
      <c r="AC20" s="24">
        <v>5</v>
      </c>
      <c r="AD20" s="24"/>
      <c r="AE20" s="18">
        <f t="shared" si="8"/>
        <v>-84.186046511627183</v>
      </c>
      <c r="AF20" s="20">
        <f t="shared" si="9"/>
        <v>0.95790697674418646</v>
      </c>
      <c r="AG20" s="170">
        <f>AF25</f>
        <v>0.96225198221716612</v>
      </c>
    </row>
    <row r="21" spans="1:33" ht="15.75" customHeight="1">
      <c r="A21" s="193" t="s">
        <v>1504</v>
      </c>
      <c r="B21" s="35" t="s">
        <v>78</v>
      </c>
      <c r="C21" s="190" t="s">
        <v>93</v>
      </c>
      <c r="D21" s="190"/>
      <c r="E21" s="35">
        <v>53.68</v>
      </c>
      <c r="F21" s="4">
        <v>1508</v>
      </c>
      <c r="G21" s="4">
        <f t="shared" si="19"/>
        <v>80949.440000000002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1925.1063829787238</v>
      </c>
      <c r="N21" s="16">
        <f t="shared" si="3"/>
        <v>120.31914893617024</v>
      </c>
      <c r="O21" s="18">
        <f t="shared" si="4"/>
        <v>0</v>
      </c>
      <c r="P21" s="19">
        <f t="shared" si="5"/>
        <v>-4.6808510638297633</v>
      </c>
      <c r="Q21" s="20">
        <f t="shared" si="6"/>
        <v>0.96255319148936191</v>
      </c>
      <c r="R21" s="170"/>
      <c r="S21" s="27">
        <v>0.27291666666666664</v>
      </c>
      <c r="T21" s="27">
        <v>0.30555555555555552</v>
      </c>
      <c r="U21" s="4">
        <f t="shared" ref="U21:U24" si="22">IF(S21=TIME(17,0,0),"",(S21-T20)*24*60)</f>
        <v>6.9999999999999751</v>
      </c>
      <c r="V21" s="21">
        <f t="shared" si="21"/>
        <v>46.999999999999993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-74.893617021276214</v>
      </c>
      <c r="AF21" s="20">
        <f t="shared" si="9"/>
        <v>0.96255319148936191</v>
      </c>
      <c r="AG21" s="170"/>
    </row>
    <row r="22" spans="1:33" ht="15.75" customHeight="1">
      <c r="A22" s="193" t="s">
        <v>1504</v>
      </c>
      <c r="B22" s="35" t="s">
        <v>78</v>
      </c>
      <c r="C22" s="190" t="s">
        <v>94</v>
      </c>
      <c r="D22" s="190"/>
      <c r="E22" s="35">
        <v>50.49</v>
      </c>
      <c r="F22" s="4">
        <v>2153</v>
      </c>
      <c r="G22" s="4">
        <f t="shared" si="19"/>
        <v>108704.97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1928.0597014925347</v>
      </c>
      <c r="N22" s="16">
        <f t="shared" si="3"/>
        <v>128.53731343283565</v>
      </c>
      <c r="O22" s="18">
        <f t="shared" si="4"/>
        <v>0</v>
      </c>
      <c r="P22" s="19">
        <f t="shared" si="5"/>
        <v>-4.7960199004976971</v>
      </c>
      <c r="Q22" s="20">
        <f t="shared" si="6"/>
        <v>0.96402985074626724</v>
      </c>
      <c r="R22" s="170"/>
      <c r="S22" s="27">
        <v>0.70833333333333337</v>
      </c>
      <c r="T22" s="27">
        <v>0.7548611111111112</v>
      </c>
      <c r="U22" s="4" t="str">
        <f t="shared" si="22"/>
        <v/>
      </c>
      <c r="V22" s="21">
        <f t="shared" si="21"/>
        <v>67.000000000000085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-71.940298507465286</v>
      </c>
      <c r="AF22" s="20">
        <f t="shared" si="9"/>
        <v>0.96402985074626735</v>
      </c>
      <c r="AG22" s="170"/>
    </row>
    <row r="23" spans="1:33" ht="15.75" customHeight="1">
      <c r="A23" s="193" t="s">
        <v>1505</v>
      </c>
      <c r="B23" s="35" t="s">
        <v>78</v>
      </c>
      <c r="C23" s="190" t="s">
        <v>96</v>
      </c>
      <c r="D23" s="190"/>
      <c r="E23" s="35">
        <v>57.3</v>
      </c>
      <c r="F23" s="4">
        <v>1868</v>
      </c>
      <c r="G23" s="4">
        <f t="shared" si="19"/>
        <v>107036.4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1932.4137931034497</v>
      </c>
      <c r="N23" s="16">
        <f t="shared" si="3"/>
        <v>148.64721485411152</v>
      </c>
      <c r="O23" s="18">
        <f t="shared" si="4"/>
        <v>0</v>
      </c>
      <c r="P23" s="19">
        <f t="shared" si="5"/>
        <v>-5.198938992042315</v>
      </c>
      <c r="Q23" s="20">
        <f t="shared" si="6"/>
        <v>0.96620689655172498</v>
      </c>
      <c r="R23" s="170"/>
      <c r="S23" s="27">
        <v>0.76041666666666674</v>
      </c>
      <c r="T23" s="27">
        <v>0.80069444444444449</v>
      </c>
      <c r="U23" s="4">
        <f t="shared" si="22"/>
        <v>7.9999999999999716</v>
      </c>
      <c r="V23" s="21">
        <f t="shared" si="21"/>
        <v>57.999999999999957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-67.586206896550266</v>
      </c>
      <c r="AF23" s="20">
        <f t="shared" si="9"/>
        <v>0.96620689655172487</v>
      </c>
      <c r="AG23" s="170"/>
    </row>
    <row r="24" spans="1:33" ht="15.75" customHeight="1">
      <c r="A24" s="193" t="s">
        <v>1505</v>
      </c>
      <c r="B24" s="35" t="s">
        <v>78</v>
      </c>
      <c r="C24" s="190" t="s">
        <v>95</v>
      </c>
      <c r="D24" s="190"/>
      <c r="E24" s="35">
        <v>53.68</v>
      </c>
      <c r="F24" s="4">
        <v>1704</v>
      </c>
      <c r="G24" s="4">
        <f t="shared" si="19"/>
        <v>91470.720000000001</v>
      </c>
      <c r="H24" s="21" t="s">
        <v>133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1439.9999999999984</v>
      </c>
      <c r="N24" s="16">
        <f t="shared" si="3"/>
        <v>89.999999999999901</v>
      </c>
      <c r="O24" s="18">
        <f t="shared" si="4"/>
        <v>0</v>
      </c>
      <c r="P24" s="19">
        <f t="shared" si="5"/>
        <v>-3.7500000000000995</v>
      </c>
      <c r="Q24" s="20">
        <f t="shared" si="6"/>
        <v>0.95999999999999897</v>
      </c>
      <c r="R24" s="170"/>
      <c r="S24" s="27">
        <v>0.8041666666666667</v>
      </c>
      <c r="T24" s="27">
        <v>0.8534722222222223</v>
      </c>
      <c r="U24" s="4">
        <f t="shared" si="22"/>
        <v>4.9999999999999822</v>
      </c>
      <c r="V24" s="21">
        <f t="shared" si="21"/>
        <v>71.000000000000071</v>
      </c>
      <c r="W24" s="22"/>
      <c r="X24" s="22"/>
      <c r="Y24" s="4"/>
      <c r="Z24" s="4"/>
      <c r="AA24" s="162"/>
      <c r="AB24" s="162"/>
      <c r="AC24" s="24"/>
      <c r="AD24" s="24"/>
      <c r="AE24" s="18">
        <f t="shared" si="8"/>
        <v>-60.000000000001592</v>
      </c>
      <c r="AF24" s="20">
        <f t="shared" si="9"/>
        <v>0.95999999999999897</v>
      </c>
      <c r="AG24" s="170"/>
    </row>
    <row r="25" spans="1:33" ht="15.75" customHeight="1">
      <c r="A25" s="193" t="s">
        <v>1505</v>
      </c>
      <c r="B25" s="35" t="s">
        <v>1506</v>
      </c>
      <c r="C25" s="171"/>
      <c r="D25" s="171"/>
      <c r="E25" s="36"/>
      <c r="F25" s="4"/>
      <c r="G25" s="4"/>
      <c r="H25" s="4"/>
      <c r="I25" s="29">
        <v>14.8</v>
      </c>
      <c r="J25" s="17">
        <v>1900</v>
      </c>
      <c r="K25" s="16">
        <f t="shared" si="1"/>
        <v>128.37837837837839</v>
      </c>
      <c r="L25" s="29">
        <v>14.8</v>
      </c>
      <c r="M25" s="17">
        <f>AVERAGE(M20:M24)</f>
        <v>1828.2787662126157</v>
      </c>
      <c r="N25" s="16">
        <f t="shared" si="3"/>
        <v>123.53234906841998</v>
      </c>
      <c r="O25" s="18">
        <f t="shared" si="4"/>
        <v>0</v>
      </c>
      <c r="P25" s="19">
        <f t="shared" si="5"/>
        <v>-4.8460293099584106</v>
      </c>
      <c r="Q25" s="20">
        <f t="shared" si="6"/>
        <v>0.96225198221716601</v>
      </c>
      <c r="R25" s="170"/>
      <c r="S25" s="27"/>
      <c r="T25" s="27"/>
      <c r="U25" s="16"/>
      <c r="V25" s="21"/>
      <c r="W25" s="16"/>
      <c r="X25" s="16"/>
      <c r="Y25" s="30">
        <f>SUM(Y20:Y24)</f>
        <v>0</v>
      </c>
      <c r="Z25" s="30">
        <f>SUM(Z20:Z24)</f>
        <v>0</v>
      </c>
      <c r="AA25" s="166"/>
      <c r="AB25" s="166"/>
      <c r="AC25" s="30">
        <v>5</v>
      </c>
      <c r="AD25" s="30">
        <f>SUM(AD20:AD24)</f>
        <v>0</v>
      </c>
      <c r="AE25" s="18">
        <f t="shared" si="8"/>
        <v>-71.721233787384335</v>
      </c>
      <c r="AF25" s="20">
        <f t="shared" si="9"/>
        <v>0.96225198221716612</v>
      </c>
      <c r="AG25" s="170"/>
    </row>
    <row r="26" spans="1:33" ht="15.75" customHeight="1">
      <c r="A26" s="191" t="s">
        <v>1507</v>
      </c>
      <c r="B26" s="35" t="s">
        <v>97</v>
      </c>
      <c r="C26" s="190" t="s">
        <v>98</v>
      </c>
      <c r="D26" s="190"/>
      <c r="E26" s="35">
        <v>31.29</v>
      </c>
      <c r="F26" s="4">
        <v>6000</v>
      </c>
      <c r="G26" s="4">
        <f t="shared" ref="G26:G32" si="23">E26*F26</f>
        <v>187740</v>
      </c>
      <c r="H26" s="21">
        <v>2</v>
      </c>
      <c r="I26" s="15">
        <v>18</v>
      </c>
      <c r="J26" s="17">
        <v>2400</v>
      </c>
      <c r="K26" s="16">
        <f t="shared" si="1"/>
        <v>133.33333333333334</v>
      </c>
      <c r="L26" s="15">
        <v>18</v>
      </c>
      <c r="M26" s="17">
        <f t="shared" ref="M26:M32" si="24">F26/V26*60</f>
        <v>2292.993630573249</v>
      </c>
      <c r="N26" s="16">
        <f t="shared" si="3"/>
        <v>127.38853503184717</v>
      </c>
      <c r="O26" s="18">
        <f t="shared" si="4"/>
        <v>0</v>
      </c>
      <c r="P26" s="19">
        <f t="shared" si="5"/>
        <v>-5.9447983014861734</v>
      </c>
      <c r="Q26" s="20">
        <f t="shared" si="6"/>
        <v>0.95541401273885374</v>
      </c>
      <c r="R26" s="170">
        <f>Q33</f>
        <v>0.95865199749647567</v>
      </c>
      <c r="S26" s="27">
        <v>8.3333333333333329E-2</v>
      </c>
      <c r="T26" s="27">
        <v>0.19236111111111109</v>
      </c>
      <c r="U26" s="4"/>
      <c r="V26" s="21">
        <f t="shared" ref="V26:V32" si="25">(T26-S26)*24*60</f>
        <v>156.99999999999997</v>
      </c>
      <c r="W26" s="22">
        <f>T26</f>
        <v>0.19236111111111109</v>
      </c>
      <c r="X26" s="22">
        <f>S27</f>
        <v>0.20972222222222217</v>
      </c>
      <c r="Y26" s="22"/>
      <c r="Z26" s="22"/>
      <c r="AA26" s="162"/>
      <c r="AB26" s="162"/>
      <c r="AC26" s="24">
        <v>7</v>
      </c>
      <c r="AD26" s="24"/>
      <c r="AE26" s="18">
        <f t="shared" si="8"/>
        <v>-107.00636942675101</v>
      </c>
      <c r="AF26" s="20">
        <f t="shared" si="9"/>
        <v>0.95541401273885374</v>
      </c>
      <c r="AG26" s="170">
        <f>AF33</f>
        <v>0.95865199749647578</v>
      </c>
    </row>
    <row r="27" spans="1:33" ht="15.75" customHeight="1">
      <c r="A27" s="191" t="s">
        <v>1508</v>
      </c>
      <c r="B27" s="35" t="s">
        <v>97</v>
      </c>
      <c r="C27" s="190" t="s">
        <v>99</v>
      </c>
      <c r="D27" s="190"/>
      <c r="E27" s="35">
        <v>25.98</v>
      </c>
      <c r="F27" s="4">
        <v>3372</v>
      </c>
      <c r="G27" s="4">
        <f t="shared" si="23"/>
        <v>87604.56</v>
      </c>
      <c r="H27" s="21" t="s">
        <v>133</v>
      </c>
      <c r="I27" s="15">
        <v>21</v>
      </c>
      <c r="J27" s="17">
        <v>2400</v>
      </c>
      <c r="K27" s="16">
        <f t="shared" si="1"/>
        <v>114.28571428571429</v>
      </c>
      <c r="L27" s="15">
        <v>21</v>
      </c>
      <c r="M27" s="17">
        <f t="shared" si="24"/>
        <v>2299.0909090909095</v>
      </c>
      <c r="N27" s="16">
        <f t="shared" si="3"/>
        <v>109.4805194805195</v>
      </c>
      <c r="O27" s="18">
        <f t="shared" si="4"/>
        <v>0</v>
      </c>
      <c r="P27" s="19">
        <f t="shared" si="5"/>
        <v>-4.8051948051947875</v>
      </c>
      <c r="Q27" s="20">
        <f t="shared" si="6"/>
        <v>0.95795454545454561</v>
      </c>
      <c r="R27" s="170"/>
      <c r="S27" s="27">
        <v>0.20972222222222217</v>
      </c>
      <c r="T27" s="27">
        <v>0.27083333333333326</v>
      </c>
      <c r="U27" s="4">
        <f t="shared" ref="U27:U32" si="26">(S27-T26)*24*60</f>
        <v>24.99999999999995</v>
      </c>
      <c r="V27" s="21">
        <f t="shared" si="25"/>
        <v>87.999999999999972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-100.90909090909054</v>
      </c>
      <c r="AF27" s="20">
        <f t="shared" si="9"/>
        <v>0.95795454545454561</v>
      </c>
      <c r="AG27" s="170"/>
    </row>
    <row r="28" spans="1:33" ht="15.75" customHeight="1">
      <c r="A28" s="191" t="s">
        <v>54</v>
      </c>
      <c r="B28" s="35" t="s">
        <v>97</v>
      </c>
      <c r="C28" s="190" t="s">
        <v>100</v>
      </c>
      <c r="D28" s="190"/>
      <c r="E28" s="35">
        <v>26.2</v>
      </c>
      <c r="F28" s="4">
        <v>3300</v>
      </c>
      <c r="G28" s="4">
        <f t="shared" si="23"/>
        <v>86460</v>
      </c>
      <c r="H28" s="21">
        <v>2</v>
      </c>
      <c r="I28" s="15">
        <v>20</v>
      </c>
      <c r="J28" s="17">
        <v>2400</v>
      </c>
      <c r="K28" s="16">
        <f t="shared" si="1"/>
        <v>120</v>
      </c>
      <c r="L28" s="15">
        <v>20</v>
      </c>
      <c r="M28" s="17">
        <f t="shared" si="24"/>
        <v>2302.3255813953483</v>
      </c>
      <c r="N28" s="16">
        <f t="shared" si="3"/>
        <v>115.11627906976742</v>
      </c>
      <c r="O28" s="18">
        <f t="shared" si="4"/>
        <v>0</v>
      </c>
      <c r="P28" s="19">
        <f t="shared" si="5"/>
        <v>-4.8837209302325846</v>
      </c>
      <c r="Q28" s="20">
        <f t="shared" si="6"/>
        <v>0.95930232558139517</v>
      </c>
      <c r="R28" s="170"/>
      <c r="S28" s="27">
        <v>0.2763888888888888</v>
      </c>
      <c r="T28" s="27">
        <v>0.33611111111111103</v>
      </c>
      <c r="U28" s="4">
        <f t="shared" si="26"/>
        <v>7.9999999999999716</v>
      </c>
      <c r="V28" s="21">
        <f t="shared" si="25"/>
        <v>86.000000000000014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-97.674418604651692</v>
      </c>
      <c r="AF28" s="20">
        <f t="shared" si="9"/>
        <v>0.95930232558139517</v>
      </c>
      <c r="AG28" s="170"/>
    </row>
    <row r="29" spans="1:33" ht="15.75" customHeight="1">
      <c r="A29" s="191" t="s">
        <v>1508</v>
      </c>
      <c r="B29" s="35" t="s">
        <v>97</v>
      </c>
      <c r="C29" s="190" t="s">
        <v>101</v>
      </c>
      <c r="D29" s="190"/>
      <c r="E29" s="35">
        <v>25.99</v>
      </c>
      <c r="F29" s="4">
        <v>4456</v>
      </c>
      <c r="G29" s="4">
        <f t="shared" si="23"/>
        <v>115811.43999999999</v>
      </c>
      <c r="H29" s="21" t="s">
        <v>133</v>
      </c>
      <c r="I29" s="15">
        <v>14</v>
      </c>
      <c r="J29" s="17">
        <v>2400</v>
      </c>
      <c r="K29" s="16">
        <f t="shared" si="1"/>
        <v>171.42857142857142</v>
      </c>
      <c r="L29" s="15">
        <v>14</v>
      </c>
      <c r="M29" s="17">
        <f t="shared" si="24"/>
        <v>2285.1282051282055</v>
      </c>
      <c r="N29" s="16">
        <f t="shared" si="3"/>
        <v>163.22344322344324</v>
      </c>
      <c r="O29" s="18">
        <f t="shared" si="4"/>
        <v>0</v>
      </c>
      <c r="P29" s="19">
        <f t="shared" si="5"/>
        <v>-8.205128205128176</v>
      </c>
      <c r="Q29" s="20">
        <f t="shared" si="6"/>
        <v>0.95213675213675231</v>
      </c>
      <c r="R29" s="170"/>
      <c r="S29" s="27">
        <v>0.33958333333333324</v>
      </c>
      <c r="T29" s="27">
        <v>0.42083333333333323</v>
      </c>
      <c r="U29" s="4">
        <f t="shared" si="26"/>
        <v>4.9999999999999822</v>
      </c>
      <c r="V29" s="21">
        <f t="shared" si="25"/>
        <v>116.99999999999999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-114.87179487179446</v>
      </c>
      <c r="AF29" s="20">
        <f t="shared" si="9"/>
        <v>0.95213675213675231</v>
      </c>
      <c r="AG29" s="170"/>
    </row>
    <row r="30" spans="1:33" ht="15.75" customHeight="1">
      <c r="A30" s="191" t="s">
        <v>54</v>
      </c>
      <c r="B30" s="35" t="s">
        <v>97</v>
      </c>
      <c r="C30" s="190" t="s">
        <v>102</v>
      </c>
      <c r="D30" s="190"/>
      <c r="E30" s="35">
        <v>26.18</v>
      </c>
      <c r="F30" s="4">
        <v>1968</v>
      </c>
      <c r="G30" s="4">
        <f t="shared" si="23"/>
        <v>51522.239999999998</v>
      </c>
      <c r="H30" s="21" t="s">
        <v>133</v>
      </c>
      <c r="I30" s="15">
        <v>19</v>
      </c>
      <c r="J30" s="17">
        <v>2400</v>
      </c>
      <c r="K30" s="16">
        <f t="shared" si="1"/>
        <v>126.31578947368421</v>
      </c>
      <c r="L30" s="15">
        <v>19</v>
      </c>
      <c r="M30" s="17">
        <f t="shared" si="24"/>
        <v>2315.2941176470599</v>
      </c>
      <c r="N30" s="16">
        <f t="shared" si="3"/>
        <v>121.85758513931894</v>
      </c>
      <c r="O30" s="18">
        <f t="shared" si="4"/>
        <v>0</v>
      </c>
      <c r="P30" s="19">
        <f t="shared" si="5"/>
        <v>-4.4582043343652629</v>
      </c>
      <c r="Q30" s="20">
        <f t="shared" si="6"/>
        <v>0.96470588235294163</v>
      </c>
      <c r="R30" s="170"/>
      <c r="S30" s="27">
        <v>0.42638888888888876</v>
      </c>
      <c r="T30" s="27">
        <v>0.46180555555555541</v>
      </c>
      <c r="U30" s="4">
        <f t="shared" si="26"/>
        <v>7.9999999999999716</v>
      </c>
      <c r="V30" s="21">
        <f t="shared" si="25"/>
        <v>50.999999999999979</v>
      </c>
      <c r="W30" s="22">
        <f>T30</f>
        <v>0.46180555555555541</v>
      </c>
      <c r="X30" s="22">
        <f>S31</f>
        <v>0.50138888888888877</v>
      </c>
      <c r="Y30" s="22"/>
      <c r="Z30" s="22"/>
      <c r="AA30" s="162"/>
      <c r="AB30" s="162"/>
      <c r="AC30" s="24"/>
      <c r="AD30" s="24"/>
      <c r="AE30" s="18">
        <f t="shared" si="8"/>
        <v>-84.70588235294008</v>
      </c>
      <c r="AF30" s="20">
        <f t="shared" si="9"/>
        <v>0.96470588235294163</v>
      </c>
      <c r="AG30" s="170"/>
    </row>
    <row r="31" spans="1:33" ht="15.75" customHeight="1">
      <c r="A31" s="191" t="s">
        <v>1508</v>
      </c>
      <c r="B31" s="35" t="s">
        <v>97</v>
      </c>
      <c r="C31" s="190" t="s">
        <v>98</v>
      </c>
      <c r="D31" s="190"/>
      <c r="E31" s="35">
        <v>31.29</v>
      </c>
      <c r="F31" s="4">
        <v>4055</v>
      </c>
      <c r="G31" s="4">
        <f t="shared" si="23"/>
        <v>126880.95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4"/>
        <v>2295.2830188679259</v>
      </c>
      <c r="N31" s="16">
        <f t="shared" si="3"/>
        <v>127.51572327044033</v>
      </c>
      <c r="O31" s="18">
        <f t="shared" si="4"/>
        <v>0</v>
      </c>
      <c r="P31" s="19">
        <f t="shared" si="5"/>
        <v>-5.8176100628930101</v>
      </c>
      <c r="Q31" s="20">
        <f t="shared" si="6"/>
        <v>0.95636792452830244</v>
      </c>
      <c r="R31" s="170"/>
      <c r="S31" s="27">
        <v>0.50138888888888877</v>
      </c>
      <c r="T31" s="27">
        <v>0.57499999999999984</v>
      </c>
      <c r="U31" s="4">
        <f t="shared" si="26"/>
        <v>57.000000000000036</v>
      </c>
      <c r="V31" s="21">
        <f t="shared" si="25"/>
        <v>105.99999999999994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-104.71698113207412</v>
      </c>
      <c r="AF31" s="20">
        <f t="shared" si="9"/>
        <v>0.95636792452830244</v>
      </c>
      <c r="AG31" s="170"/>
    </row>
    <row r="32" spans="1:33" ht="15.75" customHeight="1">
      <c r="A32" s="191" t="s">
        <v>1508</v>
      </c>
      <c r="B32" s="35" t="s">
        <v>97</v>
      </c>
      <c r="C32" s="190" t="s">
        <v>100</v>
      </c>
      <c r="D32" s="190"/>
      <c r="E32" s="35">
        <v>26.2</v>
      </c>
      <c r="F32" s="4">
        <v>2431</v>
      </c>
      <c r="G32" s="4">
        <f t="shared" si="23"/>
        <v>63692.2</v>
      </c>
      <c r="H32" s="21" t="s">
        <v>133</v>
      </c>
      <c r="I32" s="15">
        <v>20</v>
      </c>
      <c r="J32" s="17">
        <v>2400</v>
      </c>
      <c r="K32" s="16">
        <f t="shared" si="1"/>
        <v>120</v>
      </c>
      <c r="L32" s="15">
        <v>20</v>
      </c>
      <c r="M32" s="17">
        <f t="shared" si="24"/>
        <v>2315.2380952380972</v>
      </c>
      <c r="N32" s="16">
        <f t="shared" si="3"/>
        <v>115.76190476190486</v>
      </c>
      <c r="O32" s="18">
        <f t="shared" si="4"/>
        <v>0</v>
      </c>
      <c r="P32" s="19">
        <f t="shared" si="5"/>
        <v>-4.2380952380951413</v>
      </c>
      <c r="Q32" s="20">
        <f t="shared" si="6"/>
        <v>0.96468253968254047</v>
      </c>
      <c r="R32" s="170"/>
      <c r="S32" s="27">
        <v>0.5791666666666665</v>
      </c>
      <c r="T32" s="27">
        <v>0.62291666666666645</v>
      </c>
      <c r="U32" s="4">
        <f t="shared" si="26"/>
        <v>5.9999999999999787</v>
      </c>
      <c r="V32" s="21">
        <f t="shared" si="25"/>
        <v>62.999999999999936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-84.76190476190277</v>
      </c>
      <c r="AF32" s="20">
        <f t="shared" si="9"/>
        <v>0.96468253968254047</v>
      </c>
      <c r="AG32" s="170"/>
    </row>
    <row r="33" spans="1:33" ht="15.75" customHeight="1">
      <c r="A33" s="191" t="s">
        <v>54</v>
      </c>
      <c r="B33" s="35" t="s">
        <v>1509</v>
      </c>
      <c r="C33" s="171"/>
      <c r="D33" s="171"/>
      <c r="E33" s="36"/>
      <c r="F33" s="4"/>
      <c r="G33" s="4"/>
      <c r="H33" s="4"/>
      <c r="I33" s="29">
        <v>18.571428571428573</v>
      </c>
      <c r="J33" s="17">
        <v>2400</v>
      </c>
      <c r="K33" s="16">
        <f t="shared" si="1"/>
        <v>129.23076923076923</v>
      </c>
      <c r="L33" s="29">
        <v>18.571428571428573</v>
      </c>
      <c r="M33" s="17">
        <f>AVERAGE(M26:M32)</f>
        <v>2300.7647939915419</v>
      </c>
      <c r="N33" s="16">
        <f t="shared" si="3"/>
        <v>123.88733506108301</v>
      </c>
      <c r="O33" s="18">
        <f t="shared" si="4"/>
        <v>0</v>
      </c>
      <c r="P33" s="19">
        <f t="shared" si="5"/>
        <v>-5.3434341696862191</v>
      </c>
      <c r="Q33" s="20">
        <f t="shared" si="6"/>
        <v>0.95865199749647567</v>
      </c>
      <c r="R33" s="170"/>
      <c r="S33" s="27"/>
      <c r="T33" s="27"/>
      <c r="U33" s="4"/>
      <c r="V33" s="21"/>
      <c r="W33" s="4"/>
      <c r="X33" s="4"/>
      <c r="Y33" s="30">
        <f>SUM(Y26:Y32)</f>
        <v>0</v>
      </c>
      <c r="Z33" s="30">
        <f>SUM(Z26:Z32)</f>
        <v>0</v>
      </c>
      <c r="AA33" s="166"/>
      <c r="AB33" s="166"/>
      <c r="AC33" s="30">
        <v>7</v>
      </c>
      <c r="AD33" s="30">
        <f>SUM(AD26:AD32)</f>
        <v>0</v>
      </c>
      <c r="AE33" s="18">
        <f t="shared" si="8"/>
        <v>-99.235206008458135</v>
      </c>
      <c r="AF33" s="20">
        <f t="shared" si="9"/>
        <v>0.95865199749647578</v>
      </c>
      <c r="AG33" s="170"/>
    </row>
    <row r="34" spans="1:33" ht="15.75" customHeight="1">
      <c r="A34" s="188" t="s">
        <v>1510</v>
      </c>
      <c r="B34" s="35" t="s">
        <v>97</v>
      </c>
      <c r="C34" s="163" t="s">
        <v>103</v>
      </c>
      <c r="D34" s="163"/>
      <c r="E34" s="35">
        <v>26.2</v>
      </c>
      <c r="F34" s="4">
        <v>4200</v>
      </c>
      <c r="G34" s="4">
        <f t="shared" ref="G34:G40" si="27">E34*F34</f>
        <v>110040</v>
      </c>
      <c r="H34" s="21">
        <v>2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ref="M34:M40" si="28">F34/V34*60</f>
        <v>2290.909090909091</v>
      </c>
      <c r="N34" s="16">
        <f t="shared" si="3"/>
        <v>127.27272727272728</v>
      </c>
      <c r="O34" s="18">
        <f t="shared" si="4"/>
        <v>0</v>
      </c>
      <c r="P34" s="19">
        <f t="shared" si="5"/>
        <v>-6.0606060606060623</v>
      </c>
      <c r="Q34" s="20">
        <f t="shared" si="6"/>
        <v>0.95454545454545459</v>
      </c>
      <c r="R34" s="170">
        <f>Q41</f>
        <v>0.95678379160143923</v>
      </c>
      <c r="S34" s="27">
        <v>8.3333333333333329E-2</v>
      </c>
      <c r="T34" s="27">
        <v>0.15972222222222221</v>
      </c>
      <c r="U34" s="4"/>
      <c r="V34" s="21">
        <f t="shared" ref="V34:V40" si="29">(T34-S34)*24*60</f>
        <v>109.99999999999999</v>
      </c>
      <c r="W34" s="27">
        <f>T34</f>
        <v>0.15972222222222221</v>
      </c>
      <c r="X34" s="27">
        <f>S35</f>
        <v>0.17916666666666664</v>
      </c>
      <c r="Y34" s="27"/>
      <c r="Z34" s="27"/>
      <c r="AA34" s="162"/>
      <c r="AB34" s="162"/>
      <c r="AC34" s="24">
        <v>7</v>
      </c>
      <c r="AD34" s="24"/>
      <c r="AE34" s="18">
        <f t="shared" si="8"/>
        <v>-109.09090909090901</v>
      </c>
      <c r="AF34" s="20">
        <f t="shared" si="9"/>
        <v>0.95454545454545459</v>
      </c>
      <c r="AG34" s="170">
        <f>AF41</f>
        <v>0.95678379160143934</v>
      </c>
    </row>
    <row r="35" spans="1:33" ht="15.75" customHeight="1">
      <c r="A35" s="188" t="s">
        <v>1511</v>
      </c>
      <c r="B35" s="35" t="s">
        <v>97</v>
      </c>
      <c r="C35" s="163" t="s">
        <v>104</v>
      </c>
      <c r="D35" s="163"/>
      <c r="E35" s="35">
        <v>20.52</v>
      </c>
      <c r="F35" s="4">
        <v>4287</v>
      </c>
      <c r="G35" s="4">
        <f t="shared" si="27"/>
        <v>87969.24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8"/>
        <v>2296.6071428571431</v>
      </c>
      <c r="N35" s="16">
        <f t="shared" si="3"/>
        <v>127.58928571428572</v>
      </c>
      <c r="O35" s="18">
        <f t="shared" si="4"/>
        <v>0</v>
      </c>
      <c r="P35" s="19">
        <f t="shared" si="5"/>
        <v>-5.7440476190476204</v>
      </c>
      <c r="Q35" s="20">
        <f t="shared" si="6"/>
        <v>0.95691964285714282</v>
      </c>
      <c r="R35" s="170"/>
      <c r="S35" s="27">
        <v>0.17916666666666664</v>
      </c>
      <c r="T35" s="27">
        <v>0.25694444444444442</v>
      </c>
      <c r="U35" s="4">
        <f t="shared" ref="U35:U40" si="30">(S35-T34)*24*60</f>
        <v>27.999999999999979</v>
      </c>
      <c r="V35" s="21">
        <f t="shared" si="29"/>
        <v>112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-103.39285714285688</v>
      </c>
      <c r="AF35" s="20">
        <f t="shared" si="9"/>
        <v>0.95691964285714293</v>
      </c>
      <c r="AG35" s="170"/>
    </row>
    <row r="36" spans="1:33">
      <c r="A36" s="189" t="s">
        <v>1511</v>
      </c>
      <c r="B36" s="35" t="s">
        <v>97</v>
      </c>
      <c r="C36" s="163" t="s">
        <v>105</v>
      </c>
      <c r="D36" s="163"/>
      <c r="E36" s="35">
        <v>26.39</v>
      </c>
      <c r="F36" s="4">
        <v>3700</v>
      </c>
      <c r="G36" s="4">
        <f t="shared" si="27"/>
        <v>97643</v>
      </c>
      <c r="H36" s="21">
        <v>2</v>
      </c>
      <c r="I36" s="15">
        <v>19</v>
      </c>
      <c r="J36" s="17">
        <v>2400</v>
      </c>
      <c r="K36" s="16">
        <f t="shared" si="1"/>
        <v>126.31578947368421</v>
      </c>
      <c r="L36" s="15">
        <v>19</v>
      </c>
      <c r="M36" s="17">
        <f t="shared" si="28"/>
        <v>2288.6597938144337</v>
      </c>
      <c r="N36" s="16">
        <f t="shared" si="3"/>
        <v>120.4557786218123</v>
      </c>
      <c r="O36" s="18">
        <f t="shared" si="4"/>
        <v>0</v>
      </c>
      <c r="P36" s="19">
        <f t="shared" si="5"/>
        <v>-5.8600108518719054</v>
      </c>
      <c r="Q36" s="20">
        <f t="shared" si="6"/>
        <v>0.9536082474226808</v>
      </c>
      <c r="R36" s="170"/>
      <c r="S36" s="27">
        <v>0.26111111111111107</v>
      </c>
      <c r="T36" s="27">
        <v>0.32847222222222217</v>
      </c>
      <c r="U36" s="4">
        <f t="shared" si="30"/>
        <v>5.9999999999999787</v>
      </c>
      <c r="V36" s="21">
        <f t="shared" si="29"/>
        <v>96.999999999999972</v>
      </c>
      <c r="W36" s="4"/>
      <c r="X36" s="4"/>
      <c r="Y36" s="4"/>
      <c r="Z36" s="4"/>
      <c r="AA36" s="162"/>
      <c r="AB36" s="162"/>
      <c r="AC36" s="24"/>
      <c r="AD36" s="24"/>
      <c r="AE36" s="18">
        <f t="shared" si="8"/>
        <v>-111.34020618556633</v>
      </c>
      <c r="AF36" s="20">
        <f t="shared" si="9"/>
        <v>0.95360824742268069</v>
      </c>
      <c r="AG36" s="170"/>
    </row>
    <row r="37" spans="1:33">
      <c r="A37" s="189" t="s">
        <v>1511</v>
      </c>
      <c r="B37" s="35" t="s">
        <v>97</v>
      </c>
      <c r="C37" s="163" t="s">
        <v>107</v>
      </c>
      <c r="D37" s="163"/>
      <c r="E37" s="35">
        <v>20.52</v>
      </c>
      <c r="F37" s="4">
        <v>3064</v>
      </c>
      <c r="G37" s="4">
        <f t="shared" si="27"/>
        <v>62873.279999999999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2297.9999999999991</v>
      </c>
      <c r="N37" s="16">
        <f t="shared" si="3"/>
        <v>127.66666666666661</v>
      </c>
      <c r="O37" s="18">
        <f t="shared" si="4"/>
        <v>0</v>
      </c>
      <c r="P37" s="19">
        <f t="shared" si="5"/>
        <v>-5.6666666666667282</v>
      </c>
      <c r="Q37" s="20">
        <f t="shared" si="6"/>
        <v>0.95749999999999957</v>
      </c>
      <c r="R37" s="170"/>
      <c r="S37" s="27">
        <v>0.33263888888888882</v>
      </c>
      <c r="T37" s="27">
        <v>0.3881944444444444</v>
      </c>
      <c r="U37" s="4">
        <f t="shared" si="30"/>
        <v>5.9999999999999787</v>
      </c>
      <c r="V37" s="21">
        <f t="shared" si="29"/>
        <v>80.000000000000028</v>
      </c>
      <c r="W37" s="22"/>
      <c r="X37" s="22"/>
      <c r="Y37" s="22"/>
      <c r="Z37" s="22"/>
      <c r="AA37" s="162"/>
      <c r="AB37" s="162"/>
      <c r="AC37" s="24"/>
      <c r="AD37" s="24"/>
      <c r="AE37" s="18">
        <f t="shared" si="8"/>
        <v>-102.00000000000091</v>
      </c>
      <c r="AF37" s="20">
        <f t="shared" si="9"/>
        <v>0.95749999999999957</v>
      </c>
      <c r="AG37" s="170"/>
    </row>
    <row r="38" spans="1:33">
      <c r="A38" s="189" t="s">
        <v>1511</v>
      </c>
      <c r="B38" s="35" t="s">
        <v>97</v>
      </c>
      <c r="C38" s="163" t="s">
        <v>304</v>
      </c>
      <c r="D38" s="163"/>
      <c r="E38" s="35">
        <v>22.69</v>
      </c>
      <c r="F38" s="4">
        <v>5601</v>
      </c>
      <c r="G38" s="4">
        <f t="shared" si="27"/>
        <v>127086.69</v>
      </c>
      <c r="H38" s="21" t="s">
        <v>133</v>
      </c>
      <c r="I38" s="15">
        <v>15</v>
      </c>
      <c r="J38" s="17">
        <v>2400</v>
      </c>
      <c r="K38" s="16">
        <f t="shared" si="1"/>
        <v>160</v>
      </c>
      <c r="L38" s="15">
        <v>15</v>
      </c>
      <c r="M38" s="17">
        <f t="shared" si="28"/>
        <v>2286.1224489795914</v>
      </c>
      <c r="N38" s="16">
        <f t="shared" si="3"/>
        <v>152.40816326530609</v>
      </c>
      <c r="O38" s="18">
        <f t="shared" si="4"/>
        <v>0</v>
      </c>
      <c r="P38" s="19">
        <f t="shared" si="5"/>
        <v>-7.5918367346939135</v>
      </c>
      <c r="Q38" s="20">
        <f t="shared" si="6"/>
        <v>0.95255102040816308</v>
      </c>
      <c r="R38" s="170"/>
      <c r="S38" s="27">
        <v>0.39236111111111105</v>
      </c>
      <c r="T38" s="27">
        <v>0.49444444444444441</v>
      </c>
      <c r="U38" s="4">
        <f t="shared" si="30"/>
        <v>5.9999999999999787</v>
      </c>
      <c r="V38" s="21">
        <f t="shared" si="29"/>
        <v>147.00000000000003</v>
      </c>
      <c r="W38" s="22">
        <f>T38</f>
        <v>0.49444444444444441</v>
      </c>
      <c r="X38" s="22">
        <f>S39</f>
        <v>0.53402777777777766</v>
      </c>
      <c r="Y38" s="22"/>
      <c r="Z38" s="22"/>
      <c r="AA38" s="162"/>
      <c r="AB38" s="162"/>
      <c r="AC38" s="24"/>
      <c r="AD38" s="24"/>
      <c r="AE38" s="18">
        <f t="shared" si="8"/>
        <v>-113.87755102040865</v>
      </c>
      <c r="AF38" s="20">
        <f t="shared" si="9"/>
        <v>0.95255102040816308</v>
      </c>
      <c r="AG38" s="170"/>
    </row>
    <row r="39" spans="1:33">
      <c r="A39" s="189" t="s">
        <v>1511</v>
      </c>
      <c r="B39" s="35" t="s">
        <v>97</v>
      </c>
      <c r="C39" s="163" t="s">
        <v>105</v>
      </c>
      <c r="D39" s="163"/>
      <c r="E39" s="35">
        <v>26.39</v>
      </c>
      <c r="F39" s="4">
        <v>2540</v>
      </c>
      <c r="G39" s="4">
        <f t="shared" si="27"/>
        <v>67030.600000000006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2309.0909090909117</v>
      </c>
      <c r="N39" s="16">
        <f t="shared" si="3"/>
        <v>121.53110047846904</v>
      </c>
      <c r="O39" s="18">
        <f t="shared" si="4"/>
        <v>0</v>
      </c>
      <c r="P39" s="19">
        <f t="shared" si="5"/>
        <v>-4.7846889952151628</v>
      </c>
      <c r="Q39" s="20">
        <f t="shared" si="6"/>
        <v>0.96212121212121327</v>
      </c>
      <c r="R39" s="170"/>
      <c r="S39" s="27">
        <v>0.53402777777777766</v>
      </c>
      <c r="T39" s="27">
        <v>0.57986111111111094</v>
      </c>
      <c r="U39" s="4">
        <f t="shared" si="30"/>
        <v>56.999999999999879</v>
      </c>
      <c r="V39" s="21">
        <f t="shared" si="29"/>
        <v>65.999999999999929</v>
      </c>
      <c r="W39" s="22"/>
      <c r="X39" s="22"/>
      <c r="Y39" s="22"/>
      <c r="Z39" s="22"/>
      <c r="AA39" s="162"/>
      <c r="AB39" s="162"/>
      <c r="AC39" s="24"/>
      <c r="AD39" s="24"/>
      <c r="AE39" s="18">
        <f t="shared" si="8"/>
        <v>-90.909090909088263</v>
      </c>
      <c r="AF39" s="20">
        <f t="shared" si="9"/>
        <v>0.96212121212121327</v>
      </c>
      <c r="AG39" s="170"/>
    </row>
    <row r="40" spans="1:33">
      <c r="A40" s="189" t="s">
        <v>1511</v>
      </c>
      <c r="B40" s="35" t="s">
        <v>97</v>
      </c>
      <c r="C40" s="163" t="s">
        <v>103</v>
      </c>
      <c r="D40" s="163"/>
      <c r="E40" s="35">
        <v>26.2</v>
      </c>
      <c r="F40" s="4">
        <v>3188</v>
      </c>
      <c r="G40" s="4">
        <f t="shared" si="27"/>
        <v>83525.599999999991</v>
      </c>
      <c r="H40" s="21" t="s">
        <v>133</v>
      </c>
      <c r="I40" s="15">
        <v>18</v>
      </c>
      <c r="J40" s="17">
        <v>2400</v>
      </c>
      <c r="K40" s="16">
        <f t="shared" si="1"/>
        <v>133.33333333333334</v>
      </c>
      <c r="L40" s="15">
        <v>18</v>
      </c>
      <c r="M40" s="17">
        <f t="shared" si="28"/>
        <v>2304.5783132530114</v>
      </c>
      <c r="N40" s="16">
        <f t="shared" si="3"/>
        <v>128.03212851405618</v>
      </c>
      <c r="O40" s="18">
        <f t="shared" si="4"/>
        <v>0</v>
      </c>
      <c r="P40" s="19">
        <f t="shared" si="5"/>
        <v>-5.3012048192771601</v>
      </c>
      <c r="Q40" s="20">
        <f t="shared" si="6"/>
        <v>0.96024096385542135</v>
      </c>
      <c r="R40" s="170"/>
      <c r="S40" s="27">
        <v>0.58402777777777759</v>
      </c>
      <c r="T40" s="27">
        <v>0.6416666666666665</v>
      </c>
      <c r="U40" s="4">
        <f t="shared" si="30"/>
        <v>5.9999999999999787</v>
      </c>
      <c r="V40" s="21">
        <f t="shared" si="29"/>
        <v>83.000000000000028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-95.421686746988598</v>
      </c>
      <c r="AF40" s="20">
        <f t="shared" si="9"/>
        <v>0.96024096385542146</v>
      </c>
      <c r="AG40" s="170"/>
    </row>
    <row r="41" spans="1:33">
      <c r="A41" s="189" t="s">
        <v>1511</v>
      </c>
      <c r="B41" s="16" t="s">
        <v>1512</v>
      </c>
      <c r="C41" s="171"/>
      <c r="D41" s="171"/>
      <c r="E41" s="36"/>
      <c r="F41" s="16"/>
      <c r="G41" s="16"/>
      <c r="H41" s="4"/>
      <c r="I41" s="29">
        <v>17.857142857142858</v>
      </c>
      <c r="J41" s="17">
        <v>2400</v>
      </c>
      <c r="K41" s="16">
        <f t="shared" si="1"/>
        <v>134.4</v>
      </c>
      <c r="L41" s="29">
        <v>17.857142857142858</v>
      </c>
      <c r="M41" s="17">
        <f>AVERAGE(M34:M40)</f>
        <v>2296.2810998434543</v>
      </c>
      <c r="N41" s="16">
        <f t="shared" si="3"/>
        <v>128.59174159123344</v>
      </c>
      <c r="O41" s="18">
        <f t="shared" si="4"/>
        <v>0</v>
      </c>
      <c r="P41" s="19">
        <f t="shared" si="5"/>
        <v>-5.8082584087665623</v>
      </c>
      <c r="Q41" s="20">
        <f t="shared" si="6"/>
        <v>0.95678379160143923</v>
      </c>
      <c r="R41" s="170"/>
      <c r="S41" s="27"/>
      <c r="T41" s="27"/>
      <c r="U41" s="16"/>
      <c r="V41" s="21"/>
      <c r="W41" s="16"/>
      <c r="X41" s="16"/>
      <c r="Y41" s="30">
        <f>SUM(Y34:Y40)</f>
        <v>0</v>
      </c>
      <c r="Z41" s="30">
        <f>SUM(Z34:Z40)</f>
        <v>0</v>
      </c>
      <c r="AA41" s="166"/>
      <c r="AB41" s="166"/>
      <c r="AC41" s="30">
        <v>7</v>
      </c>
      <c r="AD41" s="30">
        <f>SUM(AD34:AD40)</f>
        <v>0</v>
      </c>
      <c r="AE41" s="18">
        <f t="shared" si="8"/>
        <v>-103.71890015654571</v>
      </c>
      <c r="AF41" s="20">
        <f t="shared" si="9"/>
        <v>0.95678379160143934</v>
      </c>
      <c r="AG41" s="170"/>
    </row>
    <row r="42" spans="1:33" ht="15.75" customHeight="1">
      <c r="A42" s="182" t="s">
        <v>1513</v>
      </c>
      <c r="B42" s="35" t="s">
        <v>108</v>
      </c>
      <c r="C42" s="174" t="s">
        <v>1514</v>
      </c>
      <c r="D42" s="175"/>
      <c r="E42" s="35">
        <v>32.82</v>
      </c>
      <c r="F42" s="4">
        <v>5000</v>
      </c>
      <c r="G42" s="4">
        <f t="shared" ref="G42:G51" si="31">E42*F42</f>
        <v>164100</v>
      </c>
      <c r="H42" s="21">
        <v>2</v>
      </c>
      <c r="I42" s="15">
        <v>8</v>
      </c>
      <c r="J42" s="17">
        <v>3000</v>
      </c>
      <c r="K42" s="16">
        <f t="shared" si="1"/>
        <v>375</v>
      </c>
      <c r="L42" s="15">
        <v>8</v>
      </c>
      <c r="M42" s="17">
        <f t="shared" ref="M42:M51" si="32">F42/V42*60</f>
        <v>2857.1428571428573</v>
      </c>
      <c r="N42" s="17">
        <f t="shared" si="3"/>
        <v>357.14285714285717</v>
      </c>
      <c r="O42" s="18">
        <f t="shared" si="4"/>
        <v>0</v>
      </c>
      <c r="P42" s="19">
        <f t="shared" si="5"/>
        <v>-17.857142857142833</v>
      </c>
      <c r="Q42" s="20">
        <f t="shared" si="6"/>
        <v>0.95238095238095244</v>
      </c>
      <c r="R42" s="185">
        <f>Q52</f>
        <v>0.95545628150767292</v>
      </c>
      <c r="S42" s="27">
        <v>8.3333333333333329E-2</v>
      </c>
      <c r="T42" s="27">
        <v>0.15625</v>
      </c>
      <c r="U42" s="27"/>
      <c r="V42" s="21">
        <f t="shared" ref="V42:V51" si="33">(T42-S42)*24*60</f>
        <v>105</v>
      </c>
      <c r="W42" s="22"/>
      <c r="X42" s="22"/>
      <c r="Y42" s="25"/>
      <c r="Z42" s="25"/>
      <c r="AA42" s="176"/>
      <c r="AB42" s="177"/>
      <c r="AC42" s="24">
        <v>10</v>
      </c>
      <c r="AD42" s="24"/>
      <c r="AE42" s="18">
        <f t="shared" si="8"/>
        <v>-142.85714285714266</v>
      </c>
      <c r="AF42" s="20">
        <f t="shared" si="9"/>
        <v>0.95238095238095244</v>
      </c>
      <c r="AG42" s="185">
        <f>AF52</f>
        <v>0.95545628150767292</v>
      </c>
    </row>
    <row r="43" spans="1:33" ht="15.75" customHeight="1">
      <c r="A43" s="183" t="s">
        <v>67</v>
      </c>
      <c r="B43" s="35" t="s">
        <v>108</v>
      </c>
      <c r="C43" s="174" t="s">
        <v>109</v>
      </c>
      <c r="D43" s="175"/>
      <c r="E43" s="35">
        <v>34.36</v>
      </c>
      <c r="F43" s="4">
        <v>2154</v>
      </c>
      <c r="G43" s="4">
        <f t="shared" si="31"/>
        <v>74011.44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2872</v>
      </c>
      <c r="N43" s="17">
        <f t="shared" si="3"/>
        <v>287.2</v>
      </c>
      <c r="O43" s="18">
        <f t="shared" si="4"/>
        <v>0</v>
      </c>
      <c r="P43" s="19">
        <f t="shared" si="5"/>
        <v>-12.800000000000011</v>
      </c>
      <c r="Q43" s="20">
        <f t="shared" si="6"/>
        <v>0.95733333333333326</v>
      </c>
      <c r="R43" s="186"/>
      <c r="S43" s="27">
        <v>0.16180555555555556</v>
      </c>
      <c r="T43" s="27">
        <v>0.19305555555555556</v>
      </c>
      <c r="U43" s="4">
        <f t="shared" ref="U43:U51" si="34">(S43-T42)*24*60</f>
        <v>8.0000000000000107</v>
      </c>
      <c r="V43" s="21">
        <f t="shared" si="33"/>
        <v>45</v>
      </c>
      <c r="W43" s="22">
        <f>T43</f>
        <v>0.19305555555555556</v>
      </c>
      <c r="X43" s="22">
        <f>S44</f>
        <v>0.21249999999999999</v>
      </c>
      <c r="Y43" s="25"/>
      <c r="Z43" s="25"/>
      <c r="AA43" s="176"/>
      <c r="AB43" s="177"/>
      <c r="AC43" s="24"/>
      <c r="AD43" s="24"/>
      <c r="AE43" s="18">
        <f t="shared" si="8"/>
        <v>-128</v>
      </c>
      <c r="AF43" s="20">
        <f t="shared" si="9"/>
        <v>0.95733333333333337</v>
      </c>
      <c r="AG43" s="186"/>
    </row>
    <row r="44" spans="1:33" ht="15.75" customHeight="1">
      <c r="A44" s="183" t="s">
        <v>1513</v>
      </c>
      <c r="B44" s="35" t="s">
        <v>108</v>
      </c>
      <c r="C44" s="174" t="s">
        <v>110</v>
      </c>
      <c r="D44" s="175"/>
      <c r="E44" s="35">
        <v>26.78</v>
      </c>
      <c r="F44" s="4">
        <v>2821</v>
      </c>
      <c r="G44" s="4">
        <f t="shared" si="31"/>
        <v>75546.38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si="32"/>
        <v>2868.8135593220341</v>
      </c>
      <c r="N44" s="17">
        <f t="shared" si="3"/>
        <v>286.88135593220341</v>
      </c>
      <c r="O44" s="18">
        <f t="shared" si="4"/>
        <v>0</v>
      </c>
      <c r="P44" s="19">
        <f t="shared" si="5"/>
        <v>-13.118644067796595</v>
      </c>
      <c r="Q44" s="20">
        <f t="shared" si="6"/>
        <v>0.95627118644067799</v>
      </c>
      <c r="R44" s="186"/>
      <c r="S44" s="27">
        <v>0.21249999999999999</v>
      </c>
      <c r="T44" s="27">
        <v>0.25347222222222221</v>
      </c>
      <c r="U44" s="4">
        <f t="shared" si="34"/>
        <v>27.999999999999979</v>
      </c>
      <c r="V44" s="21">
        <f t="shared" si="33"/>
        <v>58.999999999999993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-131.18644067796595</v>
      </c>
      <c r="AF44" s="20">
        <f t="shared" si="9"/>
        <v>0.95627118644067799</v>
      </c>
      <c r="AG44" s="186"/>
    </row>
    <row r="45" spans="1:33" ht="15.75" customHeight="1">
      <c r="A45" s="183" t="s">
        <v>1513</v>
      </c>
      <c r="B45" s="35" t="s">
        <v>108</v>
      </c>
      <c r="C45" s="174" t="s">
        <v>111</v>
      </c>
      <c r="D45" s="175"/>
      <c r="E45" s="35">
        <v>21.13</v>
      </c>
      <c r="F45" s="4">
        <v>3200</v>
      </c>
      <c r="G45" s="4">
        <f t="shared" si="31"/>
        <v>67616</v>
      </c>
      <c r="H45" s="21">
        <v>2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si="32"/>
        <v>2865.6716417910447</v>
      </c>
      <c r="N45" s="17">
        <f t="shared" si="3"/>
        <v>286.56716417910445</v>
      </c>
      <c r="O45" s="18">
        <f t="shared" si="4"/>
        <v>0</v>
      </c>
      <c r="P45" s="19">
        <f t="shared" si="5"/>
        <v>-13.432835820895548</v>
      </c>
      <c r="Q45" s="20">
        <f t="shared" si="6"/>
        <v>0.9552238805970148</v>
      </c>
      <c r="R45" s="186"/>
      <c r="S45" s="27">
        <v>0.2583333333333333</v>
      </c>
      <c r="T45" s="27">
        <v>0.30486111111111108</v>
      </c>
      <c r="U45" s="4">
        <f t="shared" si="34"/>
        <v>6.9999999999999751</v>
      </c>
      <c r="V45" s="21">
        <f t="shared" si="33"/>
        <v>67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-134.32835820895525</v>
      </c>
      <c r="AF45" s="20">
        <f t="shared" si="9"/>
        <v>0.95522388059701491</v>
      </c>
      <c r="AG45" s="186"/>
    </row>
    <row r="46" spans="1:33" ht="15.75" customHeight="1">
      <c r="A46" s="183" t="s">
        <v>1515</v>
      </c>
      <c r="B46" s="35" t="s">
        <v>108</v>
      </c>
      <c r="C46" s="174" t="s">
        <v>112</v>
      </c>
      <c r="D46" s="175"/>
      <c r="E46" s="35">
        <v>27.17</v>
      </c>
      <c r="F46" s="4">
        <v>4300</v>
      </c>
      <c r="G46" s="4">
        <f t="shared" si="31"/>
        <v>116831.00000000001</v>
      </c>
      <c r="H46" s="21">
        <v>2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2866.6666666666665</v>
      </c>
      <c r="N46" s="17">
        <f t="shared" si="3"/>
        <v>286.66666666666663</v>
      </c>
      <c r="O46" s="18">
        <f t="shared" si="4"/>
        <v>0</v>
      </c>
      <c r="P46" s="19">
        <f t="shared" si="5"/>
        <v>-13.333333333333371</v>
      </c>
      <c r="Q46" s="20">
        <f t="shared" si="6"/>
        <v>0.95555555555555538</v>
      </c>
      <c r="R46" s="186"/>
      <c r="S46" s="27">
        <v>0.30833333333333329</v>
      </c>
      <c r="T46" s="27">
        <v>0.37083333333333329</v>
      </c>
      <c r="U46" s="4">
        <f t="shared" si="34"/>
        <v>4.9999999999999822</v>
      </c>
      <c r="V46" s="21">
        <f t="shared" si="33"/>
        <v>90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-133.33333333333348</v>
      </c>
      <c r="AF46" s="20">
        <f t="shared" si="9"/>
        <v>0.95555555555555549</v>
      </c>
      <c r="AG46" s="186"/>
    </row>
    <row r="47" spans="1:33" ht="15.75" customHeight="1">
      <c r="A47" s="183" t="s">
        <v>67</v>
      </c>
      <c r="B47" s="35" t="s">
        <v>108</v>
      </c>
      <c r="C47" s="174" t="s">
        <v>305</v>
      </c>
      <c r="D47" s="175"/>
      <c r="E47" s="35">
        <v>28.3</v>
      </c>
      <c r="F47" s="4">
        <v>2486</v>
      </c>
      <c r="G47" s="4">
        <f t="shared" si="31"/>
        <v>70353.8</v>
      </c>
      <c r="H47" s="21" t="s">
        <v>133</v>
      </c>
      <c r="I47" s="15">
        <v>8</v>
      </c>
      <c r="J47" s="17">
        <v>3000</v>
      </c>
      <c r="K47" s="16">
        <f t="shared" si="1"/>
        <v>375</v>
      </c>
      <c r="L47" s="15">
        <v>8</v>
      </c>
      <c r="M47" s="17">
        <f t="shared" si="32"/>
        <v>2868.4615384615399</v>
      </c>
      <c r="N47" s="17">
        <f t="shared" si="3"/>
        <v>358.55769230769249</v>
      </c>
      <c r="O47" s="18">
        <f t="shared" si="4"/>
        <v>0</v>
      </c>
      <c r="P47" s="19">
        <f t="shared" si="5"/>
        <v>-16.442307692307509</v>
      </c>
      <c r="Q47" s="20">
        <f t="shared" si="6"/>
        <v>0.95615384615384669</v>
      </c>
      <c r="R47" s="186"/>
      <c r="S47" s="27">
        <v>0.37638888888888883</v>
      </c>
      <c r="T47" s="27">
        <v>0.41249999999999992</v>
      </c>
      <c r="U47" s="4">
        <f t="shared" si="34"/>
        <v>7.9999999999999716</v>
      </c>
      <c r="V47" s="21">
        <f t="shared" si="33"/>
        <v>51.999999999999972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-131.53846153846007</v>
      </c>
      <c r="AF47" s="20">
        <f t="shared" si="9"/>
        <v>0.95615384615384669</v>
      </c>
      <c r="AG47" s="186"/>
    </row>
    <row r="48" spans="1:33" ht="15.75" customHeight="1">
      <c r="A48" s="183" t="s">
        <v>1513</v>
      </c>
      <c r="B48" s="35" t="s">
        <v>108</v>
      </c>
      <c r="C48" s="174" t="s">
        <v>113</v>
      </c>
      <c r="D48" s="175"/>
      <c r="E48" s="35">
        <v>35.869999999999997</v>
      </c>
      <c r="F48" s="4">
        <v>4287</v>
      </c>
      <c r="G48" s="4">
        <f t="shared" si="31"/>
        <v>153774.69</v>
      </c>
      <c r="H48" s="21" t="s">
        <v>133</v>
      </c>
      <c r="I48" s="15">
        <v>9</v>
      </c>
      <c r="J48" s="17">
        <v>3000</v>
      </c>
      <c r="K48" s="16">
        <f t="shared" si="1"/>
        <v>333.33333333333331</v>
      </c>
      <c r="L48" s="15">
        <v>9</v>
      </c>
      <c r="M48" s="17">
        <f t="shared" si="32"/>
        <v>2858</v>
      </c>
      <c r="N48" s="17">
        <f t="shared" si="3"/>
        <v>317.55555555555554</v>
      </c>
      <c r="O48" s="18">
        <f t="shared" si="4"/>
        <v>0</v>
      </c>
      <c r="P48" s="19">
        <f t="shared" si="5"/>
        <v>-15.777777777777771</v>
      </c>
      <c r="Q48" s="20">
        <f t="shared" si="6"/>
        <v>0.95266666666666666</v>
      </c>
      <c r="R48" s="186"/>
      <c r="S48" s="27">
        <v>0.41805555555555546</v>
      </c>
      <c r="T48" s="27">
        <v>0.48055555555555546</v>
      </c>
      <c r="U48" s="4">
        <f t="shared" si="34"/>
        <v>7.9999999999999716</v>
      </c>
      <c r="V48" s="21">
        <f t="shared" si="33"/>
        <v>90</v>
      </c>
      <c r="W48" s="22">
        <f>T48</f>
        <v>0.48055555555555546</v>
      </c>
      <c r="X48" s="22">
        <f>S49</f>
        <v>0.52083333333333315</v>
      </c>
      <c r="Y48" s="25"/>
      <c r="Z48" s="25"/>
      <c r="AA48" s="176"/>
      <c r="AB48" s="177"/>
      <c r="AC48" s="24"/>
      <c r="AD48" s="24"/>
      <c r="AE48" s="18">
        <f t="shared" si="8"/>
        <v>-142</v>
      </c>
      <c r="AF48" s="20">
        <f t="shared" si="9"/>
        <v>0.95266666666666666</v>
      </c>
      <c r="AG48" s="186"/>
    </row>
    <row r="49" spans="1:33" ht="15.75" customHeight="1">
      <c r="A49" s="183" t="s">
        <v>1513</v>
      </c>
      <c r="B49" s="35" t="s">
        <v>108</v>
      </c>
      <c r="C49" s="174" t="s">
        <v>111</v>
      </c>
      <c r="D49" s="175"/>
      <c r="E49" s="35">
        <v>21.13</v>
      </c>
      <c r="F49" s="4">
        <v>2528</v>
      </c>
      <c r="G49" s="4">
        <f t="shared" si="31"/>
        <v>53416.639999999999</v>
      </c>
      <c r="H49" s="21" t="s">
        <v>133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2861.8867924528317</v>
      </c>
      <c r="N49" s="17">
        <f t="shared" si="3"/>
        <v>286.1886792452832</v>
      </c>
      <c r="O49" s="18">
        <f t="shared" si="4"/>
        <v>0</v>
      </c>
      <c r="P49" s="19">
        <f t="shared" si="5"/>
        <v>-13.811320754716803</v>
      </c>
      <c r="Q49" s="20">
        <f t="shared" si="6"/>
        <v>0.95396226415094398</v>
      </c>
      <c r="R49" s="186"/>
      <c r="S49" s="27">
        <v>0.52083333333333315</v>
      </c>
      <c r="T49" s="27">
        <v>0.55763888888888868</v>
      </c>
      <c r="U49" s="4">
        <f t="shared" si="34"/>
        <v>57.999999999999872</v>
      </c>
      <c r="V49" s="21">
        <f t="shared" si="33"/>
        <v>52.999999999999972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-138.11320754716826</v>
      </c>
      <c r="AF49" s="20">
        <f t="shared" si="9"/>
        <v>0.95396226415094387</v>
      </c>
      <c r="AG49" s="186"/>
    </row>
    <row r="50" spans="1:33" ht="15.75" customHeight="1">
      <c r="A50" s="183" t="s">
        <v>1513</v>
      </c>
      <c r="B50" s="35" t="s">
        <v>108</v>
      </c>
      <c r="C50" s="174" t="s">
        <v>112</v>
      </c>
      <c r="D50" s="175"/>
      <c r="E50" s="35">
        <v>27.17</v>
      </c>
      <c r="F50" s="4">
        <v>3313</v>
      </c>
      <c r="G50" s="4">
        <f t="shared" si="31"/>
        <v>90014.21</v>
      </c>
      <c r="H50" s="21" t="s">
        <v>133</v>
      </c>
      <c r="I50" s="15">
        <v>10</v>
      </c>
      <c r="J50" s="17">
        <v>3000</v>
      </c>
      <c r="K50" s="16">
        <f t="shared" si="1"/>
        <v>300</v>
      </c>
      <c r="L50" s="15">
        <v>10</v>
      </c>
      <c r="M50" s="17">
        <f t="shared" si="32"/>
        <v>2880.8695652173883</v>
      </c>
      <c r="N50" s="17">
        <f t="shared" si="3"/>
        <v>288.08695652173884</v>
      </c>
      <c r="O50" s="18">
        <f t="shared" si="4"/>
        <v>0</v>
      </c>
      <c r="P50" s="19">
        <f t="shared" si="5"/>
        <v>-11.913043478261159</v>
      </c>
      <c r="Q50" s="20">
        <f t="shared" si="6"/>
        <v>0.96028985507246278</v>
      </c>
      <c r="R50" s="186"/>
      <c r="S50" s="27">
        <v>0.56319444444444422</v>
      </c>
      <c r="T50" s="27">
        <v>0.61111111111111094</v>
      </c>
      <c r="U50" s="4">
        <f t="shared" si="34"/>
        <v>7.9999999999999716</v>
      </c>
      <c r="V50" s="21">
        <f t="shared" si="33"/>
        <v>69.000000000000071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-119.1304347826117</v>
      </c>
      <c r="AF50" s="20">
        <f t="shared" si="9"/>
        <v>0.96028985507246278</v>
      </c>
      <c r="AG50" s="186"/>
    </row>
    <row r="51" spans="1:33" ht="15.75" customHeight="1">
      <c r="A51" s="183" t="s">
        <v>1513</v>
      </c>
      <c r="B51" s="35" t="s">
        <v>108</v>
      </c>
      <c r="C51" s="174" t="s">
        <v>1514</v>
      </c>
      <c r="D51" s="175"/>
      <c r="E51" s="35">
        <v>32.82</v>
      </c>
      <c r="F51" s="4">
        <v>4344</v>
      </c>
      <c r="G51" s="4">
        <f t="shared" si="31"/>
        <v>142570.07999999999</v>
      </c>
      <c r="H51" s="21" t="s">
        <v>133</v>
      </c>
      <c r="I51" s="15">
        <v>8</v>
      </c>
      <c r="J51" s="17">
        <v>3000</v>
      </c>
      <c r="K51" s="16">
        <f t="shared" si="1"/>
        <v>375</v>
      </c>
      <c r="L51" s="15">
        <v>8</v>
      </c>
      <c r="M51" s="17">
        <f t="shared" si="32"/>
        <v>2864.1758241758243</v>
      </c>
      <c r="N51" s="17">
        <f t="shared" si="3"/>
        <v>358.02197802197804</v>
      </c>
      <c r="O51" s="18">
        <f t="shared" si="4"/>
        <v>0</v>
      </c>
      <c r="P51" s="19">
        <f t="shared" si="5"/>
        <v>-16.978021978021957</v>
      </c>
      <c r="Q51" s="20">
        <f t="shared" si="6"/>
        <v>0.9547252747252748</v>
      </c>
      <c r="R51" s="186"/>
      <c r="S51" s="27">
        <v>0.61597222222222203</v>
      </c>
      <c r="T51" s="27">
        <v>0.67916666666666647</v>
      </c>
      <c r="U51" s="4">
        <f t="shared" si="34"/>
        <v>6.9999999999999751</v>
      </c>
      <c r="V51" s="21">
        <f t="shared" si="33"/>
        <v>91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-135.82417582417565</v>
      </c>
      <c r="AF51" s="20">
        <f t="shared" si="9"/>
        <v>0.9547252747252748</v>
      </c>
      <c r="AG51" s="186"/>
    </row>
    <row r="52" spans="1:33" ht="15.75" customHeight="1">
      <c r="A52" s="184" t="s">
        <v>1513</v>
      </c>
      <c r="B52" s="35" t="s">
        <v>1512</v>
      </c>
      <c r="C52" s="164"/>
      <c r="D52" s="165"/>
      <c r="E52" s="37"/>
      <c r="F52" s="4"/>
      <c r="G52" s="4"/>
      <c r="H52" s="4"/>
      <c r="I52" s="29">
        <v>9.3000000000000007</v>
      </c>
      <c r="J52" s="17">
        <v>3000</v>
      </c>
      <c r="K52" s="16">
        <f t="shared" si="1"/>
        <v>322.58064516129031</v>
      </c>
      <c r="L52" s="29">
        <v>9.3000000000000007</v>
      </c>
      <c r="M52" s="17">
        <f>AVERAGE(M42:M51)</f>
        <v>2866.3688445230187</v>
      </c>
      <c r="N52" s="16">
        <f t="shared" si="3"/>
        <v>308.21170371215254</v>
      </c>
      <c r="O52" s="18">
        <f t="shared" si="4"/>
        <v>0</v>
      </c>
      <c r="P52" s="19">
        <f t="shared" si="5"/>
        <v>-14.368941449137765</v>
      </c>
      <c r="Q52" s="20">
        <f t="shared" si="6"/>
        <v>0.95545628150767292</v>
      </c>
      <c r="R52" s="187"/>
      <c r="S52" s="27"/>
      <c r="T52" s="27"/>
      <c r="U52" s="4"/>
      <c r="V52" s="21"/>
      <c r="W52" s="22"/>
      <c r="X52" s="22"/>
      <c r="Y52" s="30">
        <f>SUM(Y42:Y51)</f>
        <v>0</v>
      </c>
      <c r="Z52" s="30">
        <f>SUM(Z42:Z51)</f>
        <v>0</v>
      </c>
      <c r="AA52" s="180"/>
      <c r="AB52" s="181"/>
      <c r="AC52" s="30">
        <v>10</v>
      </c>
      <c r="AD52" s="30">
        <f>SUM(AD42:AD51)</f>
        <v>0</v>
      </c>
      <c r="AE52" s="18">
        <f t="shared" si="8"/>
        <v>-133.63115547698135</v>
      </c>
      <c r="AF52" s="20">
        <f t="shared" si="9"/>
        <v>0.95545628150767292</v>
      </c>
      <c r="AG52" s="187"/>
    </row>
    <row r="53" spans="1:33" ht="15.75" customHeight="1">
      <c r="A53" s="178" t="s">
        <v>1516</v>
      </c>
      <c r="B53" s="35" t="s">
        <v>84</v>
      </c>
      <c r="C53" s="163" t="s">
        <v>114</v>
      </c>
      <c r="D53" s="163"/>
      <c r="E53" s="35">
        <v>46</v>
      </c>
      <c r="F53" s="38">
        <v>2393</v>
      </c>
      <c r="G53" s="4">
        <f t="shared" ref="G53:G61" si="35">E53*F53</f>
        <v>110078</v>
      </c>
      <c r="H53" s="21" t="s">
        <v>133</v>
      </c>
      <c r="I53" s="15">
        <v>17</v>
      </c>
      <c r="J53" s="17">
        <v>2000</v>
      </c>
      <c r="K53" s="16">
        <f t="shared" si="1"/>
        <v>117.64705882352941</v>
      </c>
      <c r="L53" s="15">
        <v>17</v>
      </c>
      <c r="M53" s="17">
        <f t="shared" ref="M53" si="36">F53/V53*60</f>
        <v>1914.3999999999996</v>
      </c>
      <c r="N53" s="17">
        <f t="shared" si="3"/>
        <v>112.61176470588234</v>
      </c>
      <c r="O53" s="18">
        <f t="shared" si="4"/>
        <v>0</v>
      </c>
      <c r="P53" s="19">
        <f t="shared" si="5"/>
        <v>-5.0352941176470694</v>
      </c>
      <c r="Q53" s="20">
        <f t="shared" si="6"/>
        <v>0.95719999999999994</v>
      </c>
      <c r="R53" s="170">
        <f>Q62</f>
        <v>0.95688532199565379</v>
      </c>
      <c r="S53" s="27">
        <v>0.20833333333333334</v>
      </c>
      <c r="T53" s="27">
        <v>0.26041666666666669</v>
      </c>
      <c r="U53" s="27"/>
      <c r="V53" s="21">
        <f t="shared" ref="V53:V61" si="37">(T53-S53)*24*60</f>
        <v>75.000000000000014</v>
      </c>
      <c r="W53" s="27"/>
      <c r="X53" s="27"/>
      <c r="Y53" s="27"/>
      <c r="Z53" s="27"/>
      <c r="AA53" s="162"/>
      <c r="AB53" s="162"/>
      <c r="AC53" s="24">
        <v>9</v>
      </c>
      <c r="AD53" s="24"/>
      <c r="AE53" s="18">
        <f t="shared" si="8"/>
        <v>-85.600000000000364</v>
      </c>
      <c r="AF53" s="20">
        <f t="shared" si="9"/>
        <v>0.95719999999999983</v>
      </c>
      <c r="AG53" s="170">
        <f>AF62</f>
        <v>0.95688532199565379</v>
      </c>
    </row>
    <row r="54" spans="1:33" ht="15.75" customHeight="1">
      <c r="A54" s="178" t="s">
        <v>1516</v>
      </c>
      <c r="B54" s="35" t="s">
        <v>78</v>
      </c>
      <c r="C54" s="163" t="s">
        <v>115</v>
      </c>
      <c r="D54" s="163"/>
      <c r="E54" s="35">
        <v>56.43</v>
      </c>
      <c r="F54" s="38">
        <v>1863</v>
      </c>
      <c r="G54" s="4">
        <f t="shared" si="35"/>
        <v>105129.09</v>
      </c>
      <c r="H54" s="21" t="s">
        <v>133</v>
      </c>
      <c r="I54" s="15">
        <v>22</v>
      </c>
      <c r="J54" s="17">
        <v>2000</v>
      </c>
      <c r="K54" s="16">
        <f t="shared" si="1"/>
        <v>90.909090909090907</v>
      </c>
      <c r="L54" s="15">
        <v>22</v>
      </c>
      <c r="M54" s="17">
        <f>F54/V54*60</f>
        <v>1894.57627118644</v>
      </c>
      <c r="N54" s="17">
        <f t="shared" si="3"/>
        <v>86.117103235747265</v>
      </c>
      <c r="O54" s="18">
        <f t="shared" si="4"/>
        <v>0</v>
      </c>
      <c r="P54" s="19">
        <f t="shared" si="5"/>
        <v>-4.7919876733436411</v>
      </c>
      <c r="Q54" s="20">
        <f t="shared" si="6"/>
        <v>0.94728813559321989</v>
      </c>
      <c r="R54" s="170"/>
      <c r="S54" s="27">
        <v>0.2638888888888889</v>
      </c>
      <c r="T54" s="27">
        <v>0.30486111111111114</v>
      </c>
      <c r="U54" s="4">
        <f t="shared" ref="U54:U61" si="38">IF(S54=TIME(17,0,0),"",(S54-T53)*24*60)</f>
        <v>4.9999999999999822</v>
      </c>
      <c r="V54" s="21">
        <f t="shared" si="37"/>
        <v>59.000000000000028</v>
      </c>
      <c r="W54" s="22"/>
      <c r="X54" s="22"/>
      <c r="Y54" s="22"/>
      <c r="Z54" s="22"/>
      <c r="AA54" s="162"/>
      <c r="AB54" s="162"/>
      <c r="AC54" s="24"/>
      <c r="AD54" s="24"/>
      <c r="AE54" s="18">
        <f t="shared" si="8"/>
        <v>-105.42372881356005</v>
      </c>
      <c r="AF54" s="20">
        <f t="shared" si="9"/>
        <v>0.94728813559322</v>
      </c>
      <c r="AG54" s="170"/>
    </row>
    <row r="55" spans="1:33" ht="15.75" customHeight="1">
      <c r="A55" s="178" t="s">
        <v>1517</v>
      </c>
      <c r="B55" s="35" t="s">
        <v>78</v>
      </c>
      <c r="C55" s="174" t="s">
        <v>116</v>
      </c>
      <c r="D55" s="175"/>
      <c r="E55" s="35">
        <v>51.75</v>
      </c>
      <c r="F55" s="38">
        <v>1249</v>
      </c>
      <c r="G55" s="4">
        <f t="shared" si="35"/>
        <v>64635.75</v>
      </c>
      <c r="H55" s="21" t="s">
        <v>133</v>
      </c>
      <c r="I55" s="15">
        <v>25</v>
      </c>
      <c r="J55" s="17">
        <v>2000</v>
      </c>
      <c r="K55" s="16">
        <f t="shared" si="1"/>
        <v>80</v>
      </c>
      <c r="L55" s="15">
        <v>25</v>
      </c>
      <c r="M55" s="17">
        <f t="shared" ref="M55:M61" si="39">F55/V55*60</f>
        <v>1827.80487804878</v>
      </c>
      <c r="N55" s="17">
        <f t="shared" si="3"/>
        <v>73.112195121951203</v>
      </c>
      <c r="O55" s="18">
        <f t="shared" si="4"/>
        <v>0</v>
      </c>
      <c r="P55" s="19">
        <f t="shared" si="5"/>
        <v>-6.8878048780487973</v>
      </c>
      <c r="Q55" s="20">
        <f t="shared" si="6"/>
        <v>0.91390243902439006</v>
      </c>
      <c r="R55" s="170"/>
      <c r="S55" s="27">
        <v>0.30972222222222223</v>
      </c>
      <c r="T55" s="27">
        <v>0.33819444444444446</v>
      </c>
      <c r="U55" s="4">
        <f t="shared" si="38"/>
        <v>6.9999999999999751</v>
      </c>
      <c r="V55" s="21">
        <f t="shared" si="37"/>
        <v>41.000000000000014</v>
      </c>
      <c r="W55" s="22"/>
      <c r="X55" s="22"/>
      <c r="Y55" s="25"/>
      <c r="Z55" s="25"/>
      <c r="AA55" s="162"/>
      <c r="AB55" s="162"/>
      <c r="AC55" s="24"/>
      <c r="AD55" s="24"/>
      <c r="AE55" s="18">
        <f t="shared" si="8"/>
        <v>-172.19512195122002</v>
      </c>
      <c r="AF55" s="20">
        <f t="shared" si="9"/>
        <v>0.91390243902438995</v>
      </c>
      <c r="AG55" s="170"/>
    </row>
    <row r="56" spans="1:33" ht="15.75" customHeight="1">
      <c r="A56" s="178" t="s">
        <v>1516</v>
      </c>
      <c r="B56" s="35" t="s">
        <v>78</v>
      </c>
      <c r="C56" s="39" t="s">
        <v>117</v>
      </c>
      <c r="D56" s="40"/>
      <c r="E56" s="35">
        <v>54.09</v>
      </c>
      <c r="F56" s="38">
        <v>1278</v>
      </c>
      <c r="G56" s="4">
        <f t="shared" si="35"/>
        <v>69127.02</v>
      </c>
      <c r="H56" s="21" t="s">
        <v>133</v>
      </c>
      <c r="I56" s="15">
        <v>19</v>
      </c>
      <c r="J56" s="17">
        <v>2000</v>
      </c>
      <c r="K56" s="16">
        <f t="shared" si="1"/>
        <v>105.26315789473684</v>
      </c>
      <c r="L56" s="15">
        <v>19</v>
      </c>
      <c r="M56" s="17">
        <f t="shared" si="39"/>
        <v>1966.1538461538451</v>
      </c>
      <c r="N56" s="17">
        <f t="shared" si="3"/>
        <v>103.48178137651816</v>
      </c>
      <c r="O56" s="18">
        <f t="shared" si="4"/>
        <v>0</v>
      </c>
      <c r="P56" s="19">
        <f t="shared" si="5"/>
        <v>-1.7813765182186785</v>
      </c>
      <c r="Q56" s="20">
        <f t="shared" si="6"/>
        <v>0.98307692307692252</v>
      </c>
      <c r="R56" s="170"/>
      <c r="S56" s="27">
        <v>0.34305555555555556</v>
      </c>
      <c r="T56" s="27">
        <v>0.37013888888888891</v>
      </c>
      <c r="U56" s="4">
        <f t="shared" si="38"/>
        <v>6.9999999999999751</v>
      </c>
      <c r="V56" s="21">
        <f t="shared" si="37"/>
        <v>39.000000000000021</v>
      </c>
      <c r="W56" s="22"/>
      <c r="X56" s="22"/>
      <c r="Y56" s="25"/>
      <c r="Z56" s="25"/>
      <c r="AA56" s="162"/>
      <c r="AB56" s="162"/>
      <c r="AC56" s="24"/>
      <c r="AD56" s="24"/>
      <c r="AE56" s="18">
        <f t="shared" si="8"/>
        <v>-33.846153846154948</v>
      </c>
      <c r="AF56" s="20">
        <f t="shared" si="9"/>
        <v>0.98307692307692252</v>
      </c>
      <c r="AG56" s="170"/>
    </row>
    <row r="57" spans="1:33" ht="15.75" customHeight="1">
      <c r="A57" s="178" t="s">
        <v>1516</v>
      </c>
      <c r="B57" s="35" t="s">
        <v>78</v>
      </c>
      <c r="C57" s="39" t="s">
        <v>118</v>
      </c>
      <c r="D57" s="40"/>
      <c r="E57" s="35">
        <v>57.73</v>
      </c>
      <c r="F57" s="38">
        <v>1180</v>
      </c>
      <c r="G57" s="4">
        <f t="shared" si="35"/>
        <v>68121.399999999994</v>
      </c>
      <c r="H57" s="21" t="s">
        <v>133</v>
      </c>
      <c r="I57" s="15">
        <v>16</v>
      </c>
      <c r="J57" s="17">
        <v>1500</v>
      </c>
      <c r="K57" s="16">
        <f t="shared" si="1"/>
        <v>93.75</v>
      </c>
      <c r="L57" s="15">
        <v>16</v>
      </c>
      <c r="M57" s="17">
        <f t="shared" si="39"/>
        <v>1444.8979591836739</v>
      </c>
      <c r="N57" s="17">
        <f t="shared" si="3"/>
        <v>90.306122448979622</v>
      </c>
      <c r="O57" s="18">
        <f t="shared" si="4"/>
        <v>0</v>
      </c>
      <c r="P57" s="19">
        <f t="shared" si="5"/>
        <v>-3.4438775510203783</v>
      </c>
      <c r="Q57" s="20">
        <f t="shared" si="6"/>
        <v>0.96326530612244932</v>
      </c>
      <c r="R57" s="170"/>
      <c r="S57" s="27">
        <v>0.70833333333333337</v>
      </c>
      <c r="T57" s="27">
        <v>0.74236111111111114</v>
      </c>
      <c r="U57" s="4" t="str">
        <f t="shared" si="38"/>
        <v/>
      </c>
      <c r="V57" s="21">
        <f t="shared" si="37"/>
        <v>48.999999999999986</v>
      </c>
      <c r="W57" s="22"/>
      <c r="X57" s="22"/>
      <c r="Y57" s="25"/>
      <c r="Z57" s="25"/>
      <c r="AA57" s="162"/>
      <c r="AB57" s="162"/>
      <c r="AC57" s="24"/>
      <c r="AD57" s="24"/>
      <c r="AE57" s="18">
        <f t="shared" si="8"/>
        <v>-55.102040816326053</v>
      </c>
      <c r="AF57" s="20">
        <f t="shared" si="9"/>
        <v>0.96326530612244932</v>
      </c>
      <c r="AG57" s="170"/>
    </row>
    <row r="58" spans="1:33" ht="15.75" customHeight="1">
      <c r="A58" s="178" t="s">
        <v>1516</v>
      </c>
      <c r="B58" s="35" t="s">
        <v>78</v>
      </c>
      <c r="C58" s="174" t="s">
        <v>119</v>
      </c>
      <c r="D58" s="175"/>
      <c r="E58" s="35">
        <v>54.29</v>
      </c>
      <c r="F58" s="38">
        <v>1345</v>
      </c>
      <c r="G58" s="4">
        <f t="shared" si="35"/>
        <v>73020.05</v>
      </c>
      <c r="H58" s="21" t="s">
        <v>133</v>
      </c>
      <c r="I58" s="15">
        <v>20</v>
      </c>
      <c r="J58" s="17">
        <v>2000</v>
      </c>
      <c r="K58" s="16">
        <f t="shared" si="1"/>
        <v>100</v>
      </c>
      <c r="L58" s="15">
        <v>20</v>
      </c>
      <c r="M58" s="17">
        <f t="shared" si="39"/>
        <v>1921.4285714285706</v>
      </c>
      <c r="N58" s="17">
        <f t="shared" si="3"/>
        <v>96.071428571428527</v>
      </c>
      <c r="O58" s="18">
        <f t="shared" si="4"/>
        <v>0</v>
      </c>
      <c r="P58" s="19">
        <f t="shared" si="5"/>
        <v>-3.9285714285714732</v>
      </c>
      <c r="Q58" s="20">
        <f t="shared" si="6"/>
        <v>0.9607142857142853</v>
      </c>
      <c r="R58" s="170"/>
      <c r="S58" s="27">
        <v>0.74652777777777779</v>
      </c>
      <c r="T58" s="27">
        <v>0.77569444444444446</v>
      </c>
      <c r="U58" s="4">
        <f t="shared" si="38"/>
        <v>5.9999999999999787</v>
      </c>
      <c r="V58" s="21">
        <f t="shared" si="37"/>
        <v>42.000000000000014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8"/>
        <v>-78.571428571429351</v>
      </c>
      <c r="AF58" s="20">
        <f t="shared" si="9"/>
        <v>0.9607142857142853</v>
      </c>
      <c r="AG58" s="170"/>
    </row>
    <row r="59" spans="1:33" ht="15.75" customHeight="1">
      <c r="A59" s="178" t="s">
        <v>1516</v>
      </c>
      <c r="B59" s="35" t="s">
        <v>78</v>
      </c>
      <c r="C59" s="174" t="s">
        <v>120</v>
      </c>
      <c r="D59" s="175"/>
      <c r="E59" s="35">
        <v>55.56</v>
      </c>
      <c r="F59" s="38">
        <v>800</v>
      </c>
      <c r="G59" s="4">
        <f t="shared" si="35"/>
        <v>44448</v>
      </c>
      <c r="H59" s="21">
        <v>2</v>
      </c>
      <c r="I59" s="15">
        <v>17</v>
      </c>
      <c r="J59" s="17">
        <v>2000</v>
      </c>
      <c r="K59" s="16">
        <f t="shared" si="1"/>
        <v>117.64705882352941</v>
      </c>
      <c r="L59" s="15">
        <v>17</v>
      </c>
      <c r="M59" s="17">
        <f t="shared" si="39"/>
        <v>1919.9999999999945</v>
      </c>
      <c r="N59" s="17">
        <f t="shared" si="3"/>
        <v>112.94117647058792</v>
      </c>
      <c r="O59" s="18">
        <f t="shared" si="4"/>
        <v>0</v>
      </c>
      <c r="P59" s="19">
        <f t="shared" si="5"/>
        <v>-4.7058823529414866</v>
      </c>
      <c r="Q59" s="20">
        <f t="shared" si="6"/>
        <v>0.95999999999999741</v>
      </c>
      <c r="R59" s="170"/>
      <c r="S59" s="27">
        <v>0.78125</v>
      </c>
      <c r="T59" s="27">
        <v>0.79861111111111116</v>
      </c>
      <c r="U59" s="4">
        <f t="shared" si="38"/>
        <v>7.9999999999999716</v>
      </c>
      <c r="V59" s="21">
        <f t="shared" si="37"/>
        <v>25.000000000000071</v>
      </c>
      <c r="W59" s="22"/>
      <c r="X59" s="22"/>
      <c r="Y59" s="25"/>
      <c r="Z59" s="25"/>
      <c r="AA59" s="176"/>
      <c r="AB59" s="177"/>
      <c r="AC59" s="24"/>
      <c r="AD59" s="24"/>
      <c r="AE59" s="18">
        <f t="shared" si="8"/>
        <v>-80.000000000005457</v>
      </c>
      <c r="AF59" s="20">
        <f t="shared" si="9"/>
        <v>0.9599999999999973</v>
      </c>
      <c r="AG59" s="170"/>
    </row>
    <row r="60" spans="1:33" ht="15.75" customHeight="1">
      <c r="A60" s="178" t="s">
        <v>1516</v>
      </c>
      <c r="B60" s="35" t="s">
        <v>78</v>
      </c>
      <c r="C60" s="174" t="s">
        <v>121</v>
      </c>
      <c r="D60" s="175"/>
      <c r="E60" s="35">
        <v>55.32</v>
      </c>
      <c r="F60" s="38">
        <v>1571</v>
      </c>
      <c r="G60" s="4">
        <f t="shared" si="35"/>
        <v>86907.72</v>
      </c>
      <c r="H60" s="21" t="s">
        <v>133</v>
      </c>
      <c r="I60" s="15">
        <v>15</v>
      </c>
      <c r="J60" s="17">
        <v>2000</v>
      </c>
      <c r="K60" s="16">
        <f t="shared" si="1"/>
        <v>133.33333333333334</v>
      </c>
      <c r="L60" s="15">
        <v>15</v>
      </c>
      <c r="M60" s="17">
        <f t="shared" si="39"/>
        <v>1923.6734693877556</v>
      </c>
      <c r="N60" s="17">
        <f t="shared" si="3"/>
        <v>128.2448979591837</v>
      </c>
      <c r="O60" s="18">
        <f t="shared" si="4"/>
        <v>0</v>
      </c>
      <c r="P60" s="19">
        <f t="shared" si="5"/>
        <v>-5.0884353741496398</v>
      </c>
      <c r="Q60" s="20">
        <f t="shared" si="6"/>
        <v>0.96183673469387776</v>
      </c>
      <c r="R60" s="170"/>
      <c r="S60" s="27">
        <v>0.80208333333333337</v>
      </c>
      <c r="T60" s="27">
        <v>0.83611111111111114</v>
      </c>
      <c r="U60" s="4">
        <f t="shared" si="38"/>
        <v>4.9999999999999822</v>
      </c>
      <c r="V60" s="21">
        <f t="shared" si="37"/>
        <v>48.999999999999986</v>
      </c>
      <c r="W60" s="22">
        <f>T60</f>
        <v>0.83611111111111114</v>
      </c>
      <c r="X60" s="22">
        <f>S61</f>
        <v>0.87430555555555556</v>
      </c>
      <c r="Y60" s="25"/>
      <c r="Z60" s="25"/>
      <c r="AA60" s="176"/>
      <c r="AB60" s="177"/>
      <c r="AC60" s="24"/>
      <c r="AD60" s="24"/>
      <c r="AE60" s="18">
        <f t="shared" si="8"/>
        <v>-76.326530612244369</v>
      </c>
      <c r="AF60" s="20">
        <f t="shared" si="9"/>
        <v>0.96183673469387787</v>
      </c>
      <c r="AG60" s="170"/>
    </row>
    <row r="61" spans="1:33">
      <c r="A61" s="178" t="s">
        <v>1516</v>
      </c>
      <c r="B61" s="35" t="s">
        <v>78</v>
      </c>
      <c r="C61" s="174" t="s">
        <v>120</v>
      </c>
      <c r="D61" s="175"/>
      <c r="E61" s="35">
        <v>55.56</v>
      </c>
      <c r="F61" s="38">
        <v>1385</v>
      </c>
      <c r="G61" s="4">
        <f t="shared" si="35"/>
        <v>76950.600000000006</v>
      </c>
      <c r="H61" s="21" t="s">
        <v>133</v>
      </c>
      <c r="I61" s="15">
        <v>17</v>
      </c>
      <c r="J61" s="17">
        <v>2000</v>
      </c>
      <c r="K61" s="16">
        <f t="shared" si="1"/>
        <v>117.64705882352941</v>
      </c>
      <c r="L61" s="15">
        <v>17</v>
      </c>
      <c r="M61" s="17">
        <f t="shared" si="39"/>
        <v>1932.5581395348834</v>
      </c>
      <c r="N61" s="17">
        <f t="shared" si="3"/>
        <v>113.67989056087549</v>
      </c>
      <c r="O61" s="18">
        <f t="shared" si="4"/>
        <v>0</v>
      </c>
      <c r="P61" s="19">
        <f t="shared" si="5"/>
        <v>-3.9671682626539138</v>
      </c>
      <c r="Q61" s="20">
        <f t="shared" si="6"/>
        <v>0.96627906976744171</v>
      </c>
      <c r="R61" s="170"/>
      <c r="S61" s="27">
        <v>0.87430555555555556</v>
      </c>
      <c r="T61" s="27">
        <v>0.90416666666666667</v>
      </c>
      <c r="U61" s="4">
        <f t="shared" si="38"/>
        <v>54.999999999999964</v>
      </c>
      <c r="V61" s="21">
        <f t="shared" si="37"/>
        <v>43.000000000000007</v>
      </c>
      <c r="W61" s="22"/>
      <c r="X61" s="22"/>
      <c r="Y61" s="25"/>
      <c r="Z61" s="25"/>
      <c r="AA61" s="176"/>
      <c r="AB61" s="177"/>
      <c r="AC61" s="24"/>
      <c r="AD61" s="24"/>
      <c r="AE61" s="18">
        <f t="shared" si="8"/>
        <v>-67.441860465116633</v>
      </c>
      <c r="AF61" s="20">
        <f t="shared" si="9"/>
        <v>0.96627906976744171</v>
      </c>
      <c r="AG61" s="170"/>
    </row>
    <row r="62" spans="1:33">
      <c r="A62" s="179" t="s">
        <v>1516</v>
      </c>
      <c r="B62" s="35" t="s">
        <v>1512</v>
      </c>
      <c r="C62" s="171"/>
      <c r="D62" s="171"/>
      <c r="E62" s="36"/>
      <c r="F62" s="16"/>
      <c r="G62" s="16"/>
      <c r="H62" s="4"/>
      <c r="I62" s="29">
        <v>18.666666666666668</v>
      </c>
      <c r="J62" s="17">
        <v>1944.4444444444443</v>
      </c>
      <c r="K62" s="16">
        <f t="shared" si="1"/>
        <v>104.16666666666666</v>
      </c>
      <c r="L62" s="29">
        <v>18.666666666666668</v>
      </c>
      <c r="M62" s="17">
        <f>AVERAGE(M53:M61)</f>
        <v>1860.6103483248824</v>
      </c>
      <c r="N62" s="16">
        <f t="shared" si="3"/>
        <v>99.675554374547261</v>
      </c>
      <c r="O62" s="18">
        <f t="shared" si="4"/>
        <v>0</v>
      </c>
      <c r="P62" s="19">
        <f t="shared" si="5"/>
        <v>-4.4911122921193964</v>
      </c>
      <c r="Q62" s="20">
        <f t="shared" si="6"/>
        <v>0.95688532199565379</v>
      </c>
      <c r="R62" s="170"/>
      <c r="S62" s="27"/>
      <c r="T62" s="27"/>
      <c r="U62" s="4"/>
      <c r="V62" s="21"/>
      <c r="W62" s="16"/>
      <c r="X62" s="16"/>
      <c r="Y62" s="30">
        <f>SUM(Y53:Y61)</f>
        <v>0</v>
      </c>
      <c r="Z62" s="30">
        <f>SUM(Z53:Z61)</f>
        <v>0</v>
      </c>
      <c r="AA62" s="166"/>
      <c r="AB62" s="166"/>
      <c r="AC62" s="30">
        <v>9</v>
      </c>
      <c r="AD62" s="30">
        <f>SUM(AD53:AD61)</f>
        <v>0</v>
      </c>
      <c r="AE62" s="18">
        <f>M62-J62</f>
        <v>-83.834096119561991</v>
      </c>
      <c r="AF62" s="20">
        <f t="shared" si="9"/>
        <v>0.95688532199565379</v>
      </c>
      <c r="AG62" s="170"/>
    </row>
    <row r="63" spans="1:33" ht="15.75" customHeight="1">
      <c r="A63" s="172" t="s">
        <v>1518</v>
      </c>
      <c r="B63" s="4" t="s">
        <v>108</v>
      </c>
      <c r="C63" s="163" t="s">
        <v>125</v>
      </c>
      <c r="D63" s="163"/>
      <c r="E63" s="35">
        <v>37.85</v>
      </c>
      <c r="F63" s="38">
        <v>1663</v>
      </c>
      <c r="G63" s="4">
        <f t="shared" ref="G63:G65" si="40">E63*F63</f>
        <v>62944.55</v>
      </c>
      <c r="H63" s="21" t="s">
        <v>133</v>
      </c>
      <c r="I63" s="15">
        <v>12</v>
      </c>
      <c r="J63" s="17">
        <v>2000</v>
      </c>
      <c r="K63" s="16">
        <f t="shared" si="1"/>
        <v>166.66666666666666</v>
      </c>
      <c r="L63" s="15">
        <v>12</v>
      </c>
      <c r="M63" s="17">
        <f t="shared" ref="M63:M65" si="41">F63/V63*60</f>
        <v>1918.8461538461534</v>
      </c>
      <c r="N63" s="16">
        <f t="shared" si="3"/>
        <v>159.9038461538461</v>
      </c>
      <c r="O63" s="18">
        <f t="shared" si="4"/>
        <v>0</v>
      </c>
      <c r="P63" s="19">
        <f t="shared" si="5"/>
        <v>-6.7628205128205536</v>
      </c>
      <c r="Q63" s="20">
        <f t="shared" si="6"/>
        <v>0.95942307692307671</v>
      </c>
      <c r="R63" s="170">
        <f>Q66</f>
        <v>0.960207218506132</v>
      </c>
      <c r="S63" s="27">
        <v>0.20833333333333334</v>
      </c>
      <c r="T63" s="27">
        <v>0.24444444444444446</v>
      </c>
      <c r="U63" s="4"/>
      <c r="V63" s="21">
        <f t="shared" ref="V63:V65" si="42">(T63-S63)*24*60</f>
        <v>52.000000000000014</v>
      </c>
      <c r="W63" s="27"/>
      <c r="X63" s="27"/>
      <c r="Y63" s="27"/>
      <c r="Z63" s="27"/>
      <c r="AA63" s="162"/>
      <c r="AB63" s="162"/>
      <c r="AC63" s="24">
        <v>3</v>
      </c>
      <c r="AD63" s="24"/>
      <c r="AE63" s="18">
        <f t="shared" ref="AE63:AE73" si="43">M63-J63</f>
        <v>-81.153846153846644</v>
      </c>
      <c r="AF63" s="20">
        <f t="shared" si="9"/>
        <v>0.95942307692307671</v>
      </c>
      <c r="AG63" s="170">
        <f>AF66</f>
        <v>0.960207218506132</v>
      </c>
    </row>
    <row r="64" spans="1:33" ht="15.75" customHeight="1">
      <c r="A64" s="172" t="s">
        <v>1519</v>
      </c>
      <c r="B64" s="4" t="s">
        <v>108</v>
      </c>
      <c r="C64" s="163" t="s">
        <v>126</v>
      </c>
      <c r="D64" s="163"/>
      <c r="E64" s="35">
        <v>34.36</v>
      </c>
      <c r="F64" s="38">
        <v>2167</v>
      </c>
      <c r="G64" s="4">
        <f t="shared" si="40"/>
        <v>74458.12</v>
      </c>
      <c r="H64" s="21" t="s">
        <v>133</v>
      </c>
      <c r="I64" s="15">
        <v>10</v>
      </c>
      <c r="J64" s="17">
        <v>3000</v>
      </c>
      <c r="K64" s="16">
        <f t="shared" si="1"/>
        <v>300</v>
      </c>
      <c r="L64" s="15">
        <v>10</v>
      </c>
      <c r="M64" s="17">
        <f t="shared" si="41"/>
        <v>2889.3333333333362</v>
      </c>
      <c r="N64" s="16">
        <f t="shared" si="3"/>
        <v>288.93333333333362</v>
      </c>
      <c r="O64" s="18">
        <f t="shared" si="4"/>
        <v>0</v>
      </c>
      <c r="P64" s="19">
        <f t="shared" si="5"/>
        <v>-11.066666666666379</v>
      </c>
      <c r="Q64" s="20">
        <f t="shared" si="6"/>
        <v>0.96311111111111203</v>
      </c>
      <c r="R64" s="170"/>
      <c r="S64" s="27">
        <v>0.24861111111111114</v>
      </c>
      <c r="T64" s="27">
        <v>0.27986111111111112</v>
      </c>
      <c r="U64" s="4">
        <f t="shared" ref="U64:U65" si="44">(S64-T63)*24*60</f>
        <v>6.0000000000000187</v>
      </c>
      <c r="V64" s="21">
        <f t="shared" si="42"/>
        <v>44.999999999999957</v>
      </c>
      <c r="W64" s="4"/>
      <c r="X64" s="4"/>
      <c r="Y64" s="4"/>
      <c r="Z64" s="4"/>
      <c r="AA64" s="162"/>
      <c r="AB64" s="162"/>
      <c r="AC64" s="24"/>
      <c r="AD64" s="24"/>
      <c r="AE64" s="18">
        <f t="shared" si="43"/>
        <v>-110.66666666666379</v>
      </c>
      <c r="AF64" s="20">
        <f t="shared" si="9"/>
        <v>0.96311111111111203</v>
      </c>
      <c r="AG64" s="170"/>
    </row>
    <row r="65" spans="1:33" ht="15.75" customHeight="1">
      <c r="A65" s="172" t="s">
        <v>1519</v>
      </c>
      <c r="B65" s="4" t="s">
        <v>108</v>
      </c>
      <c r="C65" s="163" t="s">
        <v>127</v>
      </c>
      <c r="D65" s="163"/>
      <c r="E65" s="35">
        <v>35.119999999999997</v>
      </c>
      <c r="F65" s="38">
        <v>6609</v>
      </c>
      <c r="G65" s="4">
        <f t="shared" si="40"/>
        <v>232108.08</v>
      </c>
      <c r="H65" s="21" t="s">
        <v>133</v>
      </c>
      <c r="I65" s="15">
        <v>10</v>
      </c>
      <c r="J65" s="17">
        <v>3000</v>
      </c>
      <c r="K65" s="16">
        <f t="shared" si="1"/>
        <v>300</v>
      </c>
      <c r="L65" s="15">
        <v>10</v>
      </c>
      <c r="M65" s="17">
        <f t="shared" si="41"/>
        <v>2873.478260869565</v>
      </c>
      <c r="N65" s="16">
        <f t="shared" si="3"/>
        <v>287.3478260869565</v>
      </c>
      <c r="O65" s="18">
        <f t="shared" si="4"/>
        <v>0</v>
      </c>
      <c r="P65" s="19">
        <f t="shared" si="5"/>
        <v>-12.652173913043498</v>
      </c>
      <c r="Q65" s="20">
        <f t="shared" si="6"/>
        <v>0.95782608695652172</v>
      </c>
      <c r="R65" s="170"/>
      <c r="S65" s="27">
        <v>0.28541666666666665</v>
      </c>
      <c r="T65" s="27">
        <v>0.38124999999999998</v>
      </c>
      <c r="U65" s="4">
        <f t="shared" si="44"/>
        <v>7.9999999999999716</v>
      </c>
      <c r="V65" s="21">
        <f t="shared" si="42"/>
        <v>138</v>
      </c>
      <c r="W65" s="4"/>
      <c r="X65" s="4"/>
      <c r="Y65" s="4"/>
      <c r="Z65" s="4"/>
      <c r="AA65" s="162"/>
      <c r="AB65" s="162"/>
      <c r="AC65" s="24"/>
      <c r="AD65" s="24"/>
      <c r="AE65" s="18">
        <f t="shared" si="43"/>
        <v>-126.52173913043498</v>
      </c>
      <c r="AF65" s="20">
        <f t="shared" si="9"/>
        <v>0.95782608695652172</v>
      </c>
      <c r="AG65" s="170"/>
    </row>
    <row r="66" spans="1:33">
      <c r="A66" s="173" t="s">
        <v>1519</v>
      </c>
      <c r="B66" s="35" t="s">
        <v>1512</v>
      </c>
      <c r="C66" s="171"/>
      <c r="D66" s="171"/>
      <c r="E66" s="36"/>
      <c r="F66" s="16"/>
      <c r="G66" s="16"/>
      <c r="H66" s="4"/>
      <c r="I66" s="29">
        <v>10.666666666666666</v>
      </c>
      <c r="J66" s="17">
        <v>2666.6666666666665</v>
      </c>
      <c r="K66" s="16">
        <f t="shared" si="1"/>
        <v>250</v>
      </c>
      <c r="L66" s="29">
        <v>10.666666666666666</v>
      </c>
      <c r="M66" s="17">
        <f>AVERAGE(M63:M65)</f>
        <v>2560.5525826830185</v>
      </c>
      <c r="N66" s="16">
        <f t="shared" si="3"/>
        <v>240.051804626533</v>
      </c>
      <c r="O66" s="18">
        <f t="shared" si="4"/>
        <v>0</v>
      </c>
      <c r="P66" s="19">
        <f t="shared" si="5"/>
        <v>-9.9481953734670014</v>
      </c>
      <c r="Q66" s="20">
        <f t="shared" si="6"/>
        <v>0.960207218506132</v>
      </c>
      <c r="R66" s="170"/>
      <c r="S66" s="27"/>
      <c r="T66" s="27"/>
      <c r="U66" s="16"/>
      <c r="V66" s="21"/>
      <c r="W66" s="16"/>
      <c r="X66" s="16"/>
      <c r="Y66" s="30">
        <f>SUM(Y63:Y65)</f>
        <v>0</v>
      </c>
      <c r="Z66" s="30">
        <f>SUM(Z63:Z65)</f>
        <v>0</v>
      </c>
      <c r="AA66" s="166"/>
      <c r="AB66" s="166"/>
      <c r="AC66" s="30">
        <v>3</v>
      </c>
      <c r="AD66" s="30">
        <f>SUM(AD63:AD65)</f>
        <v>0</v>
      </c>
      <c r="AE66" s="18">
        <f t="shared" si="43"/>
        <v>-106.11408398364802</v>
      </c>
      <c r="AF66" s="20">
        <f t="shared" si="9"/>
        <v>0.960207218506132</v>
      </c>
      <c r="AG66" s="170"/>
    </row>
    <row r="67" spans="1:33" ht="15.75" customHeight="1">
      <c r="A67" s="167" t="s">
        <v>1520</v>
      </c>
      <c r="B67" s="4" t="s">
        <v>97</v>
      </c>
      <c r="C67" s="163" t="s">
        <v>128</v>
      </c>
      <c r="D67" s="163"/>
      <c r="E67" s="35">
        <v>20.2</v>
      </c>
      <c r="F67" s="4">
        <v>2484</v>
      </c>
      <c r="G67" s="4">
        <f t="shared" ref="G67:G72" si="45">E67*F67</f>
        <v>50176.799999999996</v>
      </c>
      <c r="H67" s="21" t="s">
        <v>133</v>
      </c>
      <c r="I67" s="15">
        <v>15</v>
      </c>
      <c r="J67" s="17">
        <v>2400</v>
      </c>
      <c r="K67" s="16">
        <f t="shared" si="1"/>
        <v>160</v>
      </c>
      <c r="L67" s="15">
        <v>15</v>
      </c>
      <c r="M67" s="17">
        <f t="shared" ref="M67:M72" si="46">F67/V67*60</f>
        <v>2292.9230769230771</v>
      </c>
      <c r="N67" s="16">
        <f t="shared" si="3"/>
        <v>152.86153846153849</v>
      </c>
      <c r="O67" s="18">
        <f t="shared" si="4"/>
        <v>0</v>
      </c>
      <c r="P67" s="19">
        <f t="shared" si="5"/>
        <v>-7.1384615384615131</v>
      </c>
      <c r="Q67" s="20">
        <f t="shared" si="6"/>
        <v>0.9553846153846155</v>
      </c>
      <c r="R67" s="170">
        <f>Q73</f>
        <v>0.95507307631248173</v>
      </c>
      <c r="S67" s="27">
        <v>8.3333333333333329E-2</v>
      </c>
      <c r="T67" s="27">
        <v>0.12847222222222221</v>
      </c>
      <c r="U67" s="27"/>
      <c r="V67" s="21">
        <f t="shared" ref="V67:V72" si="47">(T67-S67)*24*60</f>
        <v>64.999999999999986</v>
      </c>
      <c r="W67" s="22">
        <f>T67</f>
        <v>0.12847222222222221</v>
      </c>
      <c r="X67" s="22">
        <f>S68</f>
        <v>0.1472222222222222</v>
      </c>
      <c r="Y67" s="22"/>
      <c r="Z67" s="22"/>
      <c r="AA67" s="162"/>
      <c r="AB67" s="162"/>
      <c r="AC67" s="24">
        <v>6</v>
      </c>
      <c r="AD67" s="24"/>
      <c r="AE67" s="18">
        <f t="shared" si="43"/>
        <v>-107.07692307692287</v>
      </c>
      <c r="AF67" s="20">
        <f t="shared" si="9"/>
        <v>0.9553846153846155</v>
      </c>
      <c r="AG67" s="170">
        <f>AF73</f>
        <v>0.95507307631248162</v>
      </c>
    </row>
    <row r="68" spans="1:33" ht="15.75" customHeight="1">
      <c r="A68" s="168" t="s">
        <v>1521</v>
      </c>
      <c r="B68" s="4" t="s">
        <v>97</v>
      </c>
      <c r="C68" s="163" t="s">
        <v>129</v>
      </c>
      <c r="D68" s="163"/>
      <c r="E68" s="35">
        <v>24.45</v>
      </c>
      <c r="F68" s="4">
        <v>2897</v>
      </c>
      <c r="G68" s="4">
        <f t="shared" si="45"/>
        <v>70831.649999999994</v>
      </c>
      <c r="H68" s="21" t="s">
        <v>133</v>
      </c>
      <c r="I68" s="15">
        <v>19</v>
      </c>
      <c r="J68" s="17">
        <v>2400</v>
      </c>
      <c r="K68" s="16">
        <f t="shared" si="1"/>
        <v>126.31578947368421</v>
      </c>
      <c r="L68" s="15">
        <v>19</v>
      </c>
      <c r="M68" s="17">
        <f t="shared" si="46"/>
        <v>2287.1052631578946</v>
      </c>
      <c r="N68" s="16">
        <f t="shared" si="3"/>
        <v>120.37396121883656</v>
      </c>
      <c r="O68" s="18">
        <f t="shared" si="4"/>
        <v>0</v>
      </c>
      <c r="P68" s="19">
        <f t="shared" si="5"/>
        <v>-5.9418282548476498</v>
      </c>
      <c r="Q68" s="20">
        <f t="shared" si="6"/>
        <v>0.95296052631578942</v>
      </c>
      <c r="R68" s="170"/>
      <c r="S68" s="27">
        <v>0.1472222222222222</v>
      </c>
      <c r="T68" s="27">
        <v>0.19999999999999998</v>
      </c>
      <c r="U68" s="4">
        <f t="shared" ref="U68:U72" si="48">(S68-T67)*24*60</f>
        <v>26.999999999999986</v>
      </c>
      <c r="V68" s="21">
        <f t="shared" si="47"/>
        <v>76.000000000000014</v>
      </c>
      <c r="W68" s="22"/>
      <c r="X68" s="22"/>
      <c r="Y68" s="22"/>
      <c r="Z68" s="22"/>
      <c r="AA68" s="162"/>
      <c r="AB68" s="162"/>
      <c r="AC68" s="24"/>
      <c r="AD68" s="24"/>
      <c r="AE68" s="18">
        <f t="shared" si="43"/>
        <v>-112.89473684210543</v>
      </c>
      <c r="AF68" s="20">
        <f t="shared" si="9"/>
        <v>0.95296052631578942</v>
      </c>
      <c r="AG68" s="170"/>
    </row>
    <row r="69" spans="1:33" ht="15.75" customHeight="1">
      <c r="A69" s="168" t="s">
        <v>1521</v>
      </c>
      <c r="B69" s="4" t="s">
        <v>97</v>
      </c>
      <c r="C69" s="163" t="s">
        <v>106</v>
      </c>
      <c r="D69" s="163"/>
      <c r="E69" s="35">
        <v>20.21</v>
      </c>
      <c r="F69" s="4">
        <v>2912</v>
      </c>
      <c r="G69" s="4">
        <f t="shared" si="45"/>
        <v>58851.520000000004</v>
      </c>
      <c r="H69" s="21" t="s">
        <v>133</v>
      </c>
      <c r="I69" s="15">
        <v>15</v>
      </c>
      <c r="J69" s="17">
        <v>2400</v>
      </c>
      <c r="K69" s="16">
        <f t="shared" ref="K69:K73" si="49">J69/I69</f>
        <v>160</v>
      </c>
      <c r="L69" s="15">
        <v>15</v>
      </c>
      <c r="M69" s="17">
        <f t="shared" si="46"/>
        <v>2298.9473684210534</v>
      </c>
      <c r="N69" s="16">
        <f t="shared" ref="N69:N73" si="50">M69/L69</f>
        <v>153.26315789473691</v>
      </c>
      <c r="O69" s="18">
        <f t="shared" ref="O69:O73" si="51">L69-I69</f>
        <v>0</v>
      </c>
      <c r="P69" s="19">
        <f t="shared" ref="P69:P73" si="52">N69-K69</f>
        <v>-6.7368421052630936</v>
      </c>
      <c r="Q69" s="20">
        <f t="shared" ref="Q69:Q73" si="53">N69/K69</f>
        <v>0.95789473684210569</v>
      </c>
      <c r="R69" s="170"/>
      <c r="S69" s="27">
        <v>0.20555555555555555</v>
      </c>
      <c r="T69" s="27">
        <v>0.2583333333333333</v>
      </c>
      <c r="U69" s="4">
        <f t="shared" si="48"/>
        <v>8.0000000000000107</v>
      </c>
      <c r="V69" s="21">
        <f t="shared" si="47"/>
        <v>75.999999999999972</v>
      </c>
      <c r="W69" s="22"/>
      <c r="X69" s="22"/>
      <c r="Y69" s="22"/>
      <c r="Z69" s="22"/>
      <c r="AA69" s="162"/>
      <c r="AB69" s="162"/>
      <c r="AC69" s="24"/>
      <c r="AD69" s="24"/>
      <c r="AE69" s="18">
        <f t="shared" si="43"/>
        <v>-101.0526315789466</v>
      </c>
      <c r="AF69" s="20">
        <f t="shared" ref="AF69:AF73" si="54">M69/J69</f>
        <v>0.95789473684210558</v>
      </c>
      <c r="AG69" s="170"/>
    </row>
    <row r="70" spans="1:33" ht="15.75" customHeight="1">
      <c r="A70" s="168" t="s">
        <v>1521</v>
      </c>
      <c r="B70" s="4" t="s">
        <v>97</v>
      </c>
      <c r="C70" s="163" t="s">
        <v>130</v>
      </c>
      <c r="D70" s="163"/>
      <c r="E70" s="35">
        <v>24.43</v>
      </c>
      <c r="F70" s="4">
        <v>7113</v>
      </c>
      <c r="G70" s="4">
        <f t="shared" si="45"/>
        <v>173770.59</v>
      </c>
      <c r="H70" s="21" t="s">
        <v>133</v>
      </c>
      <c r="I70" s="15">
        <v>14</v>
      </c>
      <c r="J70" s="17">
        <v>2400</v>
      </c>
      <c r="K70" s="16">
        <f t="shared" si="49"/>
        <v>171.42857142857142</v>
      </c>
      <c r="L70" s="15">
        <v>14</v>
      </c>
      <c r="M70" s="17">
        <f t="shared" si="46"/>
        <v>2282.2459893048135</v>
      </c>
      <c r="N70" s="16">
        <f t="shared" si="50"/>
        <v>163.01757066462955</v>
      </c>
      <c r="O70" s="18">
        <f t="shared" si="51"/>
        <v>0</v>
      </c>
      <c r="P70" s="19">
        <f t="shared" si="52"/>
        <v>-8.4110007639418711</v>
      </c>
      <c r="Q70" s="20">
        <f t="shared" si="53"/>
        <v>0.95093582887700578</v>
      </c>
      <c r="R70" s="170"/>
      <c r="S70" s="27">
        <v>0.26180555555555551</v>
      </c>
      <c r="T70" s="27">
        <v>0.39166666666666661</v>
      </c>
      <c r="U70" s="4">
        <f t="shared" si="48"/>
        <v>4.9999999999999822</v>
      </c>
      <c r="V70" s="21">
        <f t="shared" si="47"/>
        <v>186.99999999999997</v>
      </c>
      <c r="W70" s="22"/>
      <c r="X70" s="22"/>
      <c r="Y70" s="22"/>
      <c r="Z70" s="22"/>
      <c r="AA70" s="162"/>
      <c r="AB70" s="162"/>
      <c r="AC70" s="24"/>
      <c r="AD70" s="24"/>
      <c r="AE70" s="18">
        <f t="shared" si="43"/>
        <v>-117.75401069518648</v>
      </c>
      <c r="AF70" s="20">
        <f t="shared" si="54"/>
        <v>0.95093582887700567</v>
      </c>
      <c r="AG70" s="170"/>
    </row>
    <row r="71" spans="1:33" ht="15.75" customHeight="1">
      <c r="A71" s="168" t="s">
        <v>1521</v>
      </c>
      <c r="B71" s="4" t="s">
        <v>97</v>
      </c>
      <c r="C71" s="163" t="s">
        <v>132</v>
      </c>
      <c r="D71" s="163"/>
      <c r="E71" s="35">
        <v>19.02</v>
      </c>
      <c r="F71" s="4">
        <v>5500</v>
      </c>
      <c r="G71" s="4">
        <f t="shared" si="45"/>
        <v>104610</v>
      </c>
      <c r="H71" s="21">
        <v>2</v>
      </c>
      <c r="I71" s="15">
        <v>14</v>
      </c>
      <c r="J71" s="17">
        <v>2400</v>
      </c>
      <c r="K71" s="16">
        <f t="shared" si="49"/>
        <v>171.42857142857142</v>
      </c>
      <c r="L71" s="15">
        <v>14</v>
      </c>
      <c r="M71" s="17">
        <f t="shared" si="46"/>
        <v>2291.666666666667</v>
      </c>
      <c r="N71" s="16">
        <f t="shared" si="50"/>
        <v>163.6904761904762</v>
      </c>
      <c r="O71" s="18">
        <f t="shared" si="51"/>
        <v>0</v>
      </c>
      <c r="P71" s="19">
        <f t="shared" si="52"/>
        <v>-7.7380952380952124</v>
      </c>
      <c r="Q71" s="20">
        <f t="shared" si="53"/>
        <v>0.95486111111111127</v>
      </c>
      <c r="R71" s="170"/>
      <c r="S71" s="27">
        <v>0.39513888888888882</v>
      </c>
      <c r="T71" s="27">
        <v>0.4951388888888888</v>
      </c>
      <c r="U71" s="4">
        <f t="shared" si="48"/>
        <v>4.9999999999999822</v>
      </c>
      <c r="V71" s="21">
        <f t="shared" si="47"/>
        <v>143.99999999999997</v>
      </c>
      <c r="W71" s="22">
        <f>T71</f>
        <v>0.4951388888888888</v>
      </c>
      <c r="X71" s="22">
        <f>S72</f>
        <v>0.53402777777777766</v>
      </c>
      <c r="Y71" s="22"/>
      <c r="Z71" s="22"/>
      <c r="AA71" s="162"/>
      <c r="AB71" s="162"/>
      <c r="AC71" s="24"/>
      <c r="AD71" s="24"/>
      <c r="AE71" s="18">
        <f t="shared" si="43"/>
        <v>-108.33333333333303</v>
      </c>
      <c r="AF71" s="20">
        <f t="shared" si="54"/>
        <v>0.95486111111111127</v>
      </c>
      <c r="AG71" s="170"/>
    </row>
    <row r="72" spans="1:33" ht="15.75" customHeight="1">
      <c r="A72" s="168" t="s">
        <v>1521</v>
      </c>
      <c r="B72" s="4" t="s">
        <v>97</v>
      </c>
      <c r="C72" s="163" t="s">
        <v>132</v>
      </c>
      <c r="D72" s="163"/>
      <c r="E72" s="35">
        <v>19.02</v>
      </c>
      <c r="F72" s="4">
        <v>4677</v>
      </c>
      <c r="G72" s="4">
        <f t="shared" si="45"/>
        <v>88956.54</v>
      </c>
      <c r="H72" s="21" t="s">
        <v>133</v>
      </c>
      <c r="I72" s="15">
        <v>14</v>
      </c>
      <c r="J72" s="17">
        <v>2400</v>
      </c>
      <c r="K72" s="16">
        <f t="shared" si="49"/>
        <v>171.42857142857142</v>
      </c>
      <c r="L72" s="15">
        <v>14</v>
      </c>
      <c r="M72" s="17">
        <f t="shared" si="46"/>
        <v>2300.1639344262285</v>
      </c>
      <c r="N72" s="16">
        <f t="shared" si="50"/>
        <v>164.29742388758774</v>
      </c>
      <c r="O72" s="18">
        <f t="shared" si="51"/>
        <v>0</v>
      </c>
      <c r="P72" s="19">
        <f t="shared" si="52"/>
        <v>-7.131147540983676</v>
      </c>
      <c r="Q72" s="20">
        <f t="shared" si="53"/>
        <v>0.95840163934426192</v>
      </c>
      <c r="R72" s="170"/>
      <c r="S72" s="27">
        <v>0.53402777777777766</v>
      </c>
      <c r="T72" s="27">
        <v>0.61874999999999991</v>
      </c>
      <c r="U72" s="4">
        <f t="shared" si="48"/>
        <v>55.999999999999957</v>
      </c>
      <c r="V72" s="21">
        <f t="shared" si="47"/>
        <v>122.00000000000004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43"/>
        <v>-99.836065573771521</v>
      </c>
      <c r="AF72" s="20">
        <f t="shared" si="54"/>
        <v>0.95840163934426181</v>
      </c>
      <c r="AG72" s="170"/>
    </row>
    <row r="73" spans="1:33" ht="16.5" customHeight="1">
      <c r="A73" s="169" t="s">
        <v>1521</v>
      </c>
      <c r="B73" s="35" t="s">
        <v>1506</v>
      </c>
      <c r="C73" s="164"/>
      <c r="D73" s="165"/>
      <c r="E73" s="36"/>
      <c r="F73" s="16"/>
      <c r="G73" s="16"/>
      <c r="H73" s="4"/>
      <c r="I73" s="29">
        <v>15.166666666666666</v>
      </c>
      <c r="J73" s="17">
        <v>2400</v>
      </c>
      <c r="K73" s="16">
        <f t="shared" si="49"/>
        <v>158.24175824175825</v>
      </c>
      <c r="L73" s="29">
        <v>15.166666666666666</v>
      </c>
      <c r="M73" s="17">
        <f>AVERAGE(M67:M72)</f>
        <v>2292.1753831499559</v>
      </c>
      <c r="N73" s="16">
        <f t="shared" si="50"/>
        <v>151.13244284505205</v>
      </c>
      <c r="O73" s="18">
        <f t="shared" si="51"/>
        <v>0</v>
      </c>
      <c r="P73" s="19">
        <f t="shared" si="52"/>
        <v>-7.1093153967061937</v>
      </c>
      <c r="Q73" s="20">
        <f t="shared" si="53"/>
        <v>0.95507307631248173</v>
      </c>
      <c r="R73" s="170"/>
      <c r="S73" s="27"/>
      <c r="T73" s="27"/>
      <c r="U73" s="16"/>
      <c r="V73" s="21"/>
      <c r="W73" s="16"/>
      <c r="X73" s="16"/>
      <c r="Y73" s="30">
        <f>SUM(Y67:Y72)</f>
        <v>0</v>
      </c>
      <c r="Z73" s="30">
        <f>SUM(Z67:Z72)</f>
        <v>0</v>
      </c>
      <c r="AA73" s="166"/>
      <c r="AB73" s="166"/>
      <c r="AC73" s="30">
        <v>6</v>
      </c>
      <c r="AD73" s="30">
        <f>SUM(AD67:AD72)</f>
        <v>0</v>
      </c>
      <c r="AE73" s="18">
        <f t="shared" si="43"/>
        <v>-107.82461685004409</v>
      </c>
      <c r="AF73" s="20">
        <f t="shared" si="54"/>
        <v>0.95507307631248162</v>
      </c>
      <c r="AG73" s="170"/>
    </row>
    <row r="74" spans="1:33">
      <c r="D74" s="41"/>
      <c r="E74" s="41"/>
    </row>
  </sheetData>
  <mergeCells count="19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5:AG19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A20:A25"/>
    <mergeCell ref="C20:D20"/>
    <mergeCell ref="R20:R25"/>
    <mergeCell ref="AA20:AB20"/>
    <mergeCell ref="AA25:AB25"/>
    <mergeCell ref="A15:A19"/>
    <mergeCell ref="C15:D15"/>
    <mergeCell ref="R15:R19"/>
    <mergeCell ref="AA15:AB15"/>
    <mergeCell ref="AG26:AG33"/>
    <mergeCell ref="C27:D27"/>
    <mergeCell ref="AA27:AB27"/>
    <mergeCell ref="C28:D28"/>
    <mergeCell ref="AA28:AB28"/>
    <mergeCell ref="C29:D29"/>
    <mergeCell ref="AG20:AG25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9:AB29"/>
    <mergeCell ref="C30:D30"/>
    <mergeCell ref="AA30:AB30"/>
    <mergeCell ref="C31:D31"/>
    <mergeCell ref="AA31:AB31"/>
    <mergeCell ref="C32:D32"/>
    <mergeCell ref="AA32:AB32"/>
    <mergeCell ref="A26:A33"/>
    <mergeCell ref="C26:D26"/>
    <mergeCell ref="R26:R33"/>
    <mergeCell ref="AA26:AB26"/>
    <mergeCell ref="C33:D33"/>
    <mergeCell ref="AA33:AB33"/>
    <mergeCell ref="A34:A41"/>
    <mergeCell ref="C34:D34"/>
    <mergeCell ref="R34:R41"/>
    <mergeCell ref="AA34:AB34"/>
    <mergeCell ref="AA39:AB39"/>
    <mergeCell ref="C40:D40"/>
    <mergeCell ref="AA40:AB40"/>
    <mergeCell ref="C41:D41"/>
    <mergeCell ref="AA41:AB41"/>
    <mergeCell ref="AG42:AG52"/>
    <mergeCell ref="C43:D43"/>
    <mergeCell ref="AA43:AB43"/>
    <mergeCell ref="C44:D44"/>
    <mergeCell ref="AA44:AB44"/>
    <mergeCell ref="C48:D48"/>
    <mergeCell ref="AA48:AB48"/>
    <mergeCell ref="C49:D49"/>
    <mergeCell ref="AA49:AB49"/>
    <mergeCell ref="C50:D50"/>
    <mergeCell ref="AA50:AB50"/>
    <mergeCell ref="C45:D45"/>
    <mergeCell ref="AA45:AB45"/>
    <mergeCell ref="C46:D46"/>
    <mergeCell ref="AA46:AB46"/>
    <mergeCell ref="C47:D47"/>
    <mergeCell ref="AA47:AB47"/>
    <mergeCell ref="C51:D51"/>
    <mergeCell ref="AA51:AB51"/>
    <mergeCell ref="C52:D52"/>
    <mergeCell ref="AA52:AB52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67:A73"/>
    <mergeCell ref="C67:D67"/>
    <mergeCell ref="R67:R73"/>
    <mergeCell ref="AA67:AB67"/>
    <mergeCell ref="A63:A66"/>
    <mergeCell ref="C63:D63"/>
    <mergeCell ref="R63:R66"/>
    <mergeCell ref="AA63:AB63"/>
    <mergeCell ref="AG53:AG62"/>
    <mergeCell ref="C54:D54"/>
    <mergeCell ref="AA54:AB54"/>
    <mergeCell ref="C55:D55"/>
    <mergeCell ref="AA55:AB55"/>
    <mergeCell ref="AA56:AB56"/>
    <mergeCell ref="AA57:AB57"/>
    <mergeCell ref="C58:D58"/>
    <mergeCell ref="AA58:AB58"/>
    <mergeCell ref="C59:D59"/>
    <mergeCell ref="AA60:AB60"/>
    <mergeCell ref="C61:D61"/>
    <mergeCell ref="AA61:AB61"/>
    <mergeCell ref="C62:D62"/>
    <mergeCell ref="AA62:AB62"/>
    <mergeCell ref="A53:A62"/>
    <mergeCell ref="C53:D53"/>
    <mergeCell ref="R53:R62"/>
    <mergeCell ref="AA53:AB53"/>
    <mergeCell ref="AA59:AB59"/>
    <mergeCell ref="C60:D60"/>
    <mergeCell ref="A42:A52"/>
    <mergeCell ref="C42:D42"/>
    <mergeCell ref="R42:R52"/>
    <mergeCell ref="AA42:AB42"/>
    <mergeCell ref="AG67:AG73"/>
    <mergeCell ref="C68:D68"/>
    <mergeCell ref="AA68:AB68"/>
    <mergeCell ref="C69:D69"/>
    <mergeCell ref="AA69:AB69"/>
    <mergeCell ref="C70:D70"/>
    <mergeCell ref="AG63:AG66"/>
    <mergeCell ref="C64:D64"/>
    <mergeCell ref="AA64:AB64"/>
    <mergeCell ref="C65:D65"/>
    <mergeCell ref="AA65:AB65"/>
    <mergeCell ref="C66:D66"/>
    <mergeCell ref="AA66:AB66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5:O73">
    <cfRule type="cellIs" dxfId="154" priority="1" operator="greaterThan">
      <formula>0</formula>
    </cfRule>
  </conditionalFormatting>
  <conditionalFormatting sqref="P5:P73">
    <cfRule type="cellIs" dxfId="153" priority="4" operator="lessThan">
      <formula>0</formula>
    </cfRule>
  </conditionalFormatting>
  <conditionalFormatting sqref="Q5:Q73">
    <cfRule type="cellIs" dxfId="152" priority="2" operator="greaterThan">
      <formula>1</formula>
    </cfRule>
    <cfRule type="cellIs" dxfId="151" priority="3" operator="lessThan">
      <formula>0.8</formula>
    </cfRule>
  </conditionalFormatting>
  <conditionalFormatting sqref="R5:R11 AG5:AG11">
    <cfRule type="cellIs" dxfId="150" priority="76" operator="lessThan">
      <formula>0.8</formula>
    </cfRule>
  </conditionalFormatting>
  <conditionalFormatting sqref="AE5:AE73">
    <cfRule type="cellIs" dxfId="149" priority="17" operator="lessThan">
      <formula>0</formula>
    </cfRule>
  </conditionalFormatting>
  <conditionalFormatting sqref="AF5:AF73">
    <cfRule type="cellIs" dxfId="148" priority="15" operator="greaterThan">
      <formula>1</formula>
    </cfRule>
    <cfRule type="cellIs" dxfId="147" priority="16" operator="lessThan">
      <formula>0.8</formula>
    </cfRule>
  </conditionalFormatting>
  <conditionalFormatting sqref="AG15:AG65 R15:R73">
    <cfRule type="cellIs" dxfId="146" priority="5" operator="lessThan">
      <formula>0.8</formula>
    </cfRule>
  </conditionalFormatting>
  <dataValidations count="1">
    <dataValidation type="list" allowBlank="1" showInputMessage="1" showErrorMessage="1" sqref="AB10 AA5:AB9 AB12:AB63 AA10:AA65 AA66:AB73" xr:uid="{00000000-0002-0000-1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Q32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1382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1383</v>
      </c>
      <c r="C3" s="151" t="str">
        <f>TEXT('0316 4度C'!A2,"yyyy.mm.ddaaaa")</f>
        <v>2026.03.16星期一</v>
      </c>
      <c r="D3" s="152"/>
      <c r="E3" s="45" t="s">
        <v>1384</v>
      </c>
      <c r="F3" s="153">
        <f>'0316 4度C'!D1</f>
        <v>172449</v>
      </c>
      <c r="G3" s="154"/>
      <c r="H3" s="45" t="s">
        <v>1385</v>
      </c>
      <c r="I3" s="155">
        <f>'0316 4度C'!F1</f>
        <v>5719168.7199999997</v>
      </c>
      <c r="J3" s="156"/>
      <c r="K3" s="46"/>
      <c r="L3" s="47"/>
      <c r="M3" s="47"/>
      <c r="N3" s="47"/>
    </row>
    <row r="4" spans="2:17" ht="28.5" customHeight="1">
      <c r="B4" s="157" t="s">
        <v>709</v>
      </c>
      <c r="C4" s="143" t="s">
        <v>1386</v>
      </c>
      <c r="D4" s="144"/>
      <c r="E4" s="160" t="s">
        <v>1387</v>
      </c>
      <c r="F4" s="161"/>
      <c r="G4" s="160" t="s">
        <v>1388</v>
      </c>
      <c r="H4" s="161"/>
      <c r="I4" s="160" t="s">
        <v>1389</v>
      </c>
      <c r="J4" s="161"/>
      <c r="K4" s="141" t="s">
        <v>1390</v>
      </c>
      <c r="L4" s="142"/>
      <c r="M4" s="142" t="s">
        <v>1391</v>
      </c>
      <c r="N4" s="142"/>
    </row>
    <row r="5" spans="2:17" ht="28.5" customHeight="1">
      <c r="B5" s="158"/>
      <c r="C5" s="143" t="s">
        <v>1392</v>
      </c>
      <c r="D5" s="144"/>
      <c r="E5" s="143" t="s">
        <v>1393</v>
      </c>
      <c r="F5" s="144"/>
      <c r="G5" s="145" t="s">
        <v>1394</v>
      </c>
      <c r="H5" s="146"/>
      <c r="I5" s="147" t="s">
        <v>1395</v>
      </c>
      <c r="J5" s="148"/>
      <c r="K5" s="48" t="s">
        <v>1396</v>
      </c>
      <c r="L5" s="49" t="s">
        <v>1397</v>
      </c>
      <c r="M5" s="48" t="s">
        <v>1396</v>
      </c>
      <c r="N5" s="49" t="s">
        <v>1398</v>
      </c>
    </row>
    <row r="6" spans="2:17" ht="28.5" customHeight="1">
      <c r="B6" s="158"/>
      <c r="C6" s="143" t="s">
        <v>153</v>
      </c>
      <c r="D6" s="144"/>
      <c r="E6" s="135">
        <f>AVERAGE(D13:M13)</f>
        <v>151.32938882297282</v>
      </c>
      <c r="F6" s="136">
        <f>AVERAGE(D31:O31,D13:J13)</f>
        <v>154.68824253621966</v>
      </c>
      <c r="G6" s="137">
        <f>AVERAGE(D13:J13)</f>
        <v>154.68824253621966</v>
      </c>
      <c r="H6" s="138"/>
      <c r="I6" s="137">
        <f>AVERAGE(K13:M13)</f>
        <v>143.49206349206349</v>
      </c>
      <c r="J6" s="138"/>
      <c r="K6" s="139">
        <f>'0316 4度C'!Y2</f>
        <v>0</v>
      </c>
      <c r="L6" s="124">
        <f>'0316 4度C'!Z2</f>
        <v>0</v>
      </c>
      <c r="M6" s="140">
        <f>'0316 4度C'!AC2</f>
        <v>63</v>
      </c>
      <c r="N6" s="124">
        <f>'0316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144.57454434847892</v>
      </c>
      <c r="F7" s="128">
        <f>AVERAGE(D32:O32,D14:J14)</f>
        <v>147.75154662106974</v>
      </c>
      <c r="G7" s="129">
        <f>AVERAGE(D14:J14)</f>
        <v>147.75154662106974</v>
      </c>
      <c r="H7" s="130"/>
      <c r="I7" s="129">
        <f>AVERAGE(K14:M14)</f>
        <v>137.161539045767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0.95456881424767559</v>
      </c>
      <c r="F8" s="132">
        <f>AVERAGE(D15:J15,D33:O33)</f>
        <v>0.95401905701818657</v>
      </c>
      <c r="G8" s="133">
        <f>AVERAGE(D15:J15)</f>
        <v>0.95401905701818657</v>
      </c>
      <c r="H8" s="134"/>
      <c r="I8" s="133">
        <f>AVERAGE(K15:M15)</f>
        <v>0.95585158111648338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1399</v>
      </c>
      <c r="N9" s="47"/>
      <c r="O9" s="47"/>
      <c r="P9" s="47"/>
      <c r="Q9" s="47"/>
    </row>
    <row r="10" spans="2:17" ht="30" customHeight="1">
      <c r="B10" s="107" t="s">
        <v>1400</v>
      </c>
      <c r="C10" s="108"/>
      <c r="D10" s="109" t="s">
        <v>1401</v>
      </c>
      <c r="E10" s="110"/>
      <c r="F10" s="110"/>
      <c r="G10" s="110"/>
      <c r="H10" s="110"/>
      <c r="I10" s="110"/>
      <c r="J10" s="111"/>
      <c r="K10" s="112" t="s">
        <v>1402</v>
      </c>
      <c r="L10" s="113"/>
      <c r="M10" s="114"/>
      <c r="P10" s="53"/>
      <c r="Q10" s="53"/>
    </row>
    <row r="11" spans="2:17" ht="17.25" customHeight="1">
      <c r="B11" s="115" t="s">
        <v>1403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1404</v>
      </c>
      <c r="C13" s="60" t="s">
        <v>628</v>
      </c>
      <c r="D13" s="61">
        <f>SUMIFS('0316 4度C'!$K:$K,'0316 4度C'!$A:$A,"新豐6線",'0316 4度C'!$B:$B,"平均")</f>
        <v>113.63636363636363</v>
      </c>
      <c r="E13" s="62">
        <f>SUMIFS('0316 4度C'!$K:$K,'0316 4度C'!$A:$A,"新豐2線",'0316 4度C'!$B:$B,"平均")</f>
        <v>84.905660377358487</v>
      </c>
      <c r="F13" s="63">
        <f>SUMIFS('0316 4度C'!$K:$K,'0316 4度C'!$A:$A,"新豐5線",'0316 4度C'!$B:$B,"平均")</f>
        <v>102.73972602739725</v>
      </c>
      <c r="G13" s="63">
        <f>SUMIFS('0316 4度C'!$K:$K,'0316 4度C'!$A:$A,"新豐7線",'0316 4度C'!$B:$B,"平均")</f>
        <v>122.22222222222221</v>
      </c>
      <c r="H13" s="63">
        <f>SUMIFS('0316 4度C'!$K:$K,'0316 4度C'!$A:$A,"新豐3線",'0316 4度C'!$B:$B,"平均")</f>
        <v>317.64705882352939</v>
      </c>
      <c r="I13" s="63">
        <f>SUMIFS('0316 4度C'!$K:$K,'0316 4度C'!$A:$A,"新豐1線",'0316 4度C'!$B:$B,"平均")</f>
        <v>104.16666666666666</v>
      </c>
      <c r="J13" s="64">
        <f>SUMIFS('0316 4度C'!$K:$K,'0316 4度C'!$A:$A,"新豐10線",'0316 4度C'!$B:$B,"平均")</f>
        <v>237.5</v>
      </c>
      <c r="K13" s="65">
        <f>SUMIFS('0316 4度C'!$K:$K,'0316 4度C'!$A:$A,"新豐8線",'0316 4度C'!$B:$B,"平均")</f>
        <v>133.33333333333334</v>
      </c>
      <c r="L13" s="66">
        <f>SUMIFS('0316 4度C'!$K:$K,'0316 4度C'!$A:$A,"新豐9線",'0316 4度C'!$B:$B,"平均")</f>
        <v>137.14285714285714</v>
      </c>
      <c r="M13" s="64">
        <f>SUMIFS('0316 4度C'!$K:$K,'0316 4度C'!$A:$A,"新豐4線",'0316 4度C'!$B:$B,"平均")</f>
        <v>160</v>
      </c>
    </row>
    <row r="14" spans="2:17" ht="39.6" customHeight="1">
      <c r="B14" s="120"/>
      <c r="C14" s="67" t="s">
        <v>629</v>
      </c>
      <c r="D14" s="68">
        <f>SUMIFS('0316 4度C'!$N:$N,'0316 4度C'!$A:$A,"新豐6線",'0316 4度C'!$B:$B,"平均")</f>
        <v>107.90506701900915</v>
      </c>
      <c r="E14" s="69">
        <f>SUMIFS('0316 4度C'!$N:$N,'0316 4度C'!$A:$A,"新豐2線",'0316 4度C'!$B:$B,"平均")</f>
        <v>81.104014308248409</v>
      </c>
      <c r="F14" s="69">
        <f>SUMIFS('0316 4度C'!$N:$N,'0316 4度C'!$A:$A,"新豐5線",'0316 4度C'!$B:$B,"平均")</f>
        <v>98.372108148304335</v>
      </c>
      <c r="G14" s="69">
        <f>SUMIFS('0316 4度C'!$N:$N,'0316 4度C'!$A:$A,"新豐7線",'0316 4度C'!$B:$B,"平均")</f>
        <v>116.8736723252853</v>
      </c>
      <c r="H14" s="69">
        <f>SUMIFS('0316 4度C'!$N:$N,'0316 4度C'!$A:$A,"新豐3線",'0316 4度C'!$B:$B,"平均")</f>
        <v>304.45698657923089</v>
      </c>
      <c r="I14" s="69">
        <f>SUMIFS('0316 4度C'!$N:$N,'0316 4度C'!$A:$A,"新豐1線",'0316 4度C'!$B:$B,"平均")</f>
        <v>98.415520552282175</v>
      </c>
      <c r="J14" s="70">
        <f>SUMIFS('0316 4度C'!$N:$N,'0316 4度C'!$A:$A,"新豐10線",'0316 4度C'!$B:$B,"平均")</f>
        <v>227.13345741512802</v>
      </c>
      <c r="K14" s="71">
        <f>SUMIFS('0316 4度C'!$N:$N,'0316 4度C'!$A:$A,"新豐8線",'0316 4度C'!$B:$B,"平均")</f>
        <v>127.24884048265432</v>
      </c>
      <c r="L14" s="72">
        <f>SUMIFS('0316 4度C'!$N:$N,'0316 4度C'!$A:$A,"新豐9線",'0316 4度C'!$B:$B,"平均")</f>
        <v>131.24624221248069</v>
      </c>
      <c r="M14" s="70">
        <f>SUMIFS('0316 4度C'!$N:$N,'0316 4度C'!$A:$A,"新豐4線",'0316 4度C'!$B:$B,"平均")</f>
        <v>152.98953444216602</v>
      </c>
    </row>
    <row r="15" spans="2:17" ht="40.15" customHeight="1">
      <c r="B15" s="121"/>
      <c r="C15" s="73" t="s">
        <v>1405</v>
      </c>
      <c r="D15" s="74">
        <f t="shared" ref="D15:M15" si="0">D14/D13</f>
        <v>0.94956458976728064</v>
      </c>
      <c r="E15" s="75">
        <f t="shared" si="0"/>
        <v>0.95522505740825914</v>
      </c>
      <c r="F15" s="75">
        <f t="shared" si="0"/>
        <v>0.95748851931016221</v>
      </c>
      <c r="G15" s="75">
        <f t="shared" si="0"/>
        <v>0.95623913720687981</v>
      </c>
      <c r="H15" s="75">
        <f t="shared" si="0"/>
        <v>0.95847569849017134</v>
      </c>
      <c r="I15" s="75">
        <f t="shared" si="0"/>
        <v>0.94478899730190902</v>
      </c>
      <c r="J15" s="76">
        <f t="shared" si="0"/>
        <v>0.95635139964264426</v>
      </c>
      <c r="K15" s="74">
        <f t="shared" si="0"/>
        <v>0.95436630361990726</v>
      </c>
      <c r="L15" s="75">
        <f t="shared" si="0"/>
        <v>0.95700384946600514</v>
      </c>
      <c r="M15" s="76">
        <f t="shared" si="0"/>
        <v>0.95618459026353764</v>
      </c>
    </row>
    <row r="16" spans="2:17" ht="17.25" customHeight="1">
      <c r="B16" s="122" t="s">
        <v>1406</v>
      </c>
      <c r="C16" s="77" t="s">
        <v>1407</v>
      </c>
      <c r="D16" s="78">
        <f>VLOOKUP("新豐6線",'0316 4度C'!$A:$T,19,0)</f>
        <v>0.70833333333333337</v>
      </c>
      <c r="E16" s="79">
        <f>VLOOKUP("新豐2線",'0316 4度C'!$A:$T,19,0)</f>
        <v>0.20833333333333334</v>
      </c>
      <c r="F16" s="79">
        <f>VLOOKUP("新豐5線",'0316 4度C'!$A:$T,19,0)</f>
        <v>0.20833333333333334</v>
      </c>
      <c r="G16" s="79">
        <f>VLOOKUP("新豐7線",'0316 4度C'!$A:$T,19,0)</f>
        <v>0.20833333333333334</v>
      </c>
      <c r="H16" s="79">
        <f>VLOOKUP("新豐3線",'0316 4度C'!$A:$T,19,0)</f>
        <v>0.20833333333333334</v>
      </c>
      <c r="I16" s="79">
        <f>VLOOKUP("新豐1線",'0316 4度C'!$A:$T,19,0)</f>
        <v>0.20833333333333334</v>
      </c>
      <c r="J16" s="80">
        <f>VLOOKUP("新豐10線",'0316 4度C'!$A:$T,19,0)</f>
        <v>0.20833333333333334</v>
      </c>
      <c r="K16" s="81">
        <f>VLOOKUP("新豐8線",'0316 4度C'!$A:$T,19,0)</f>
        <v>0.125</v>
      </c>
      <c r="L16" s="82">
        <f>VLOOKUP("新豐9線",'0316 4度C'!$A:$T,19,0)</f>
        <v>0.125</v>
      </c>
      <c r="M16" s="83">
        <f>VLOOKUP("新豐4線",'0316 4度C'!$A:$T,19,0)</f>
        <v>0.125</v>
      </c>
    </row>
    <row r="17" spans="2:13" ht="17.25" customHeight="1">
      <c r="B17" s="123"/>
      <c r="C17" s="77" t="s">
        <v>1408</v>
      </c>
      <c r="D17" s="81">
        <f>LOOKUP(2,1/(('0316 4度C'!$A:$A="新豐6線")*('0316 4度C'!$T:$T&lt;&gt;"")),'0316 4度C'!$T:$T)</f>
        <v>0.84652777777777766</v>
      </c>
      <c r="E17" s="79">
        <f>LOOKUP(2,1/(('0316 4度C'!$A:$A="新豐2線")*('0316 4度C'!$T:$T&lt;&gt;"")),'0316 4度C'!$T:$T)</f>
        <v>0.59236111111111101</v>
      </c>
      <c r="F17" s="79">
        <f>LOOKUP(2,1/(('0316 4度C'!$A:$A="新豐5線")*('0316 4度C'!$T:$T&lt;&gt;"")),'0316 4度C'!$T:$T)</f>
        <v>0.85138888888888897</v>
      </c>
      <c r="G17" s="79">
        <f>LOOKUP(2,1/(('0316 4度C'!$A:$A="新豐7線")*('0316 4度C'!$T:$T&lt;&gt;"")),'0316 4度C'!$T:$T)</f>
        <v>0.90069444444444435</v>
      </c>
      <c r="H17" s="79">
        <f>LOOKUP(2,1/(('0316 4度C'!$A:$A="新豐3線")*('0316 4度C'!$T:$T&lt;&gt;"")),'0316 4度C'!$T:$T)</f>
        <v>0.69305555555555554</v>
      </c>
      <c r="I17" s="79">
        <f>LOOKUP(2,1/(('0316 4度C'!$A:$A="新豐1線")*('0316 4度C'!$T:$T&lt;&gt;"")),'0316 4度C'!$T:$T)</f>
        <v>0.90763888888888888</v>
      </c>
      <c r="J17" s="80">
        <f>LOOKUP(2,1/(('0316 4度C'!$A:$A="新豐10線")*('0316 4度C'!$T:$T&lt;&gt;"")),'0316 4度C'!$T:$T)</f>
        <v>0.4909722222222222</v>
      </c>
      <c r="K17" s="78">
        <f>LOOKUP(2,1/(('0316 4度C'!$A:$A="新豐8線")*('0316 4度C'!$T:$T&lt;&gt;"")),'0316 4度C'!$T:$T)</f>
        <v>0.66736111111111096</v>
      </c>
      <c r="L17" s="79">
        <f>LOOKUP(2,1/(('0316 4度C'!$A:$A="新豐9線")*('0316 4度C'!$T:$T&lt;&gt;"")),'0316 4度C'!$T:$T)</f>
        <v>0.71180555555555536</v>
      </c>
      <c r="M17" s="80">
        <f>LOOKUP(2,1/(('0316 4度C'!$A:$A="新豐4線")*('0316 4度C'!$T:$T&lt;&gt;"")),'0316 4度C'!$T:$T)</f>
        <v>0.66736111111111107</v>
      </c>
    </row>
    <row r="18" spans="2:13" ht="17.25" customHeight="1">
      <c r="B18" s="101" t="s">
        <v>941</v>
      </c>
      <c r="C18" s="84" t="s">
        <v>1409</v>
      </c>
      <c r="D18" s="85">
        <f>SUMIFS('0316 4度C'!$Y:$Y,'0316 4度C'!$A:$A,"新豐6線",'0316 4度C'!$B:$B,"平均")</f>
        <v>0</v>
      </c>
      <c r="E18" s="86">
        <f>SUMIFS('0316 4度C'!$Y:$Y,'0316 4度C'!$A:$A,"新豐2線",'0316 4度C'!$B:$B,"平均")</f>
        <v>0</v>
      </c>
      <c r="F18" s="86">
        <f>SUMIFS('0316 4度C'!$Y:$Y,'0316 4度C'!$A:$A,"新豐5線",'0316 4度C'!$B:$B,"平均")</f>
        <v>0</v>
      </c>
      <c r="G18" s="86">
        <f>SUMIFS('0316 4度C'!$Y:$Y,'0316 4度C'!$A:$A,"新豐7線",'0316 4度C'!$B:$B,"平均")</f>
        <v>0</v>
      </c>
      <c r="H18" s="86">
        <f>SUMIFS('0316 4度C'!$Y:$Y,'0316 4度C'!$A:$A,"新豐3線",'0316 4度C'!$B:$B,"平均")</f>
        <v>0</v>
      </c>
      <c r="I18" s="86">
        <f>SUMIFS('0316 4度C'!$Y:$Y,'0316 4度C'!$A:$A,"新豐1線",'0316 4度C'!$B:$B,"平均")</f>
        <v>0</v>
      </c>
      <c r="J18" s="87">
        <f>SUMIFS('0316 4度C'!$Y:$Y,'0316 4度C'!$A:$A,"新豐10線",'0316 4度C'!$B:$B,"平均")</f>
        <v>0</v>
      </c>
      <c r="K18" s="88">
        <f>SUMIFS('0316 4度C'!$Y:$Y,'0316 4度C'!$A:$A,"新豐8線",'0316 4度C'!$B:$B,"平均")</f>
        <v>0</v>
      </c>
      <c r="L18" s="86">
        <f>SUMIFS('0316 4度C'!$Y:$Y,'0316 4度C'!$A:$A,"新豐9線",'0316 4度C'!$B:$B,"平均")</f>
        <v>0</v>
      </c>
      <c r="M18" s="87">
        <f>SUMIFS('0316 4度C'!$Y:$Y,'0316 4度C'!$A:$A,"新豐4線",'0316 4度C'!$B:$B,"平均")</f>
        <v>0</v>
      </c>
    </row>
    <row r="19" spans="2:13" ht="17.25" customHeight="1">
      <c r="B19" s="102"/>
      <c r="C19" s="84" t="s">
        <v>42</v>
      </c>
      <c r="D19" s="85">
        <f>SUMIFS('0316 4度C'!$Z:$Z,'0316 4度C'!$A:$A,"新豐6線",'0316 4度C'!$B:$B,"平均")</f>
        <v>0</v>
      </c>
      <c r="E19" s="86">
        <f>SUMIFS('0316 4度C'!$Z:$Z,'0316 4度C'!$A:$A,"新豐2線",'0316 4度C'!$B:$B,"平均")</f>
        <v>0</v>
      </c>
      <c r="F19" s="86">
        <f>SUMIFS('0316 4度C'!$Z:$Z,'0316 4度C'!$A:$A,"新豐5線",'0316 4度C'!$B:$B,"平均")</f>
        <v>0</v>
      </c>
      <c r="G19" s="86">
        <f>SUMIFS('0316 4度C'!$Z:$Z,'0316 4度C'!$A:$A,"新豐7線",'0316 4度C'!$B:$B,"平均")</f>
        <v>0</v>
      </c>
      <c r="H19" s="86">
        <f>SUMIFS('0316 4度C'!$Z:$Z,'0316 4度C'!$A:$A,"新豐3線",'0316 4度C'!$B:$B,"平均")</f>
        <v>0</v>
      </c>
      <c r="I19" s="86">
        <f>SUMIFS('0316 4度C'!$Z:$Z,'0316 4度C'!$A:$A,"新豐1線",'0316 4度C'!$B:$B,"平均")</f>
        <v>0</v>
      </c>
      <c r="J19" s="87">
        <f>SUMIFS('0316 4度C'!$Z:$Z,'0316 4度C'!$A:$A,"新豐10線",'0316 4度C'!$B:$B,"平均")</f>
        <v>0</v>
      </c>
      <c r="K19" s="88">
        <f>SUMIFS('0316 4度C'!$Z:$Z,'0316 4度C'!$A:$A,"新豐8線",'0316 4度C'!$B:$B,"平均")</f>
        <v>0</v>
      </c>
      <c r="L19" s="86">
        <f>SUMIFS('0316 4度C'!$Z:$Z,'0316 4度C'!$A:$A,"新豐9線",'0316 4度C'!$B:$B,"平均")</f>
        <v>0</v>
      </c>
      <c r="M19" s="87">
        <f>SUMIFS('0316 4度C'!$Z:$Z,'0316 4度C'!$A:$A,"新豐4線",'0316 4度C'!$B:$B,"平均")</f>
        <v>0</v>
      </c>
    </row>
    <row r="20" spans="2:13" ht="17.25" customHeight="1">
      <c r="B20" s="101" t="s">
        <v>1410</v>
      </c>
      <c r="C20" s="84" t="s">
        <v>41</v>
      </c>
      <c r="D20" s="85">
        <f>SUMIFS('0316 4度C'!$AC:$AC,'0316 4度C'!$A:$A,"新豐6線",'0316 4度C'!$B:$B,"平均")</f>
        <v>5</v>
      </c>
      <c r="E20" s="86">
        <f>SUMIFS('0316 4度C'!$AC:$AC,'0316 4度C'!$A:$A,"新豐2線",'0316 4度C'!$B:$B,"平均")</f>
        <v>3</v>
      </c>
      <c r="F20" s="86">
        <f>SUMIFS('0316 4度C'!$AC:$AC,'0316 4度C'!$A:$A,"新豐5線",'0316 4度C'!$B:$B,"平均")</f>
        <v>4</v>
      </c>
      <c r="G20" s="86">
        <f>SUMIFS('0316 4度C'!$AC:$AC,'0316 4度C'!$A:$A,"新豐7線",'0316 4度C'!$B:$B,"平均")</f>
        <v>6</v>
      </c>
      <c r="H20" s="86">
        <f>SUMIFS('0316 4度C'!$AC:$AC,'0316 4度C'!$A:$A,"新豐3線",'0316 4度C'!$B:$B,"平均")</f>
        <v>9</v>
      </c>
      <c r="I20" s="86">
        <f>SUMIFS('0316 4度C'!$AC:$AC,'0316 4度C'!$A:$A,"新豐1線",'0316 4度C'!$B:$B,"平均")</f>
        <v>9</v>
      </c>
      <c r="J20" s="87">
        <f>SUMIFS('0316 4度C'!$AC:$AC,'0316 4度C'!$A:$A,"新豐10線",'0316 4度C'!$B:$B,"平均")</f>
        <v>4</v>
      </c>
      <c r="K20" s="88">
        <f>SUMIFS('0316 4度C'!$AC:$AC,'0316 4度C'!$A:$A,"新豐8線",'0316 4度C'!$B:$B,"平均")</f>
        <v>8</v>
      </c>
      <c r="L20" s="86">
        <f>SUMIFS('0316 4度C'!$AC:$AC,'0316 4度C'!$A:$A,"新豐9線",'0316 4度C'!$B:$B,"平均")</f>
        <v>8</v>
      </c>
      <c r="M20" s="87">
        <f>SUMIFS('0316 4度C'!$AC:$AC,'0316 4度C'!$A:$A,"新豐4線",'0316 4度C'!$B:$B,"平均")</f>
        <v>7</v>
      </c>
    </row>
    <row r="21" spans="2:13" ht="17.25" customHeight="1">
      <c r="B21" s="102"/>
      <c r="C21" s="84" t="s">
        <v>1411</v>
      </c>
      <c r="D21" s="85">
        <f>SUMIFS('0316 4度C'!$AD:$AD,'0316 4度C'!$A:$A,"新豐6線",'0316 4度C'!$B:$B,"平均")</f>
        <v>0</v>
      </c>
      <c r="E21" s="86">
        <f>SUMIFS('0316 4度C'!$AD:$AD,'0316 4度C'!$A:$A,"新豐2線",'0316 4度C'!$B:$B,"平均")</f>
        <v>0</v>
      </c>
      <c r="F21" s="86">
        <f>SUMIFS('0316 4度C'!$AD:$AD,'0316 4度C'!$A:$A,"新豐5線",'0316 4度C'!$B:$B,"平均")</f>
        <v>0</v>
      </c>
      <c r="G21" s="86">
        <f>SUMIFS('0316 4度C'!$AD:$AD,'0316 4度C'!$A:$A,"新豐7線",'0316 4度C'!$B:$B,"平均")</f>
        <v>0</v>
      </c>
      <c r="H21" s="86">
        <f>SUMIFS('0316 4度C'!$AD:$AD,'0316 4度C'!$A:$A,"新豐3線",'0316 4度C'!$B:$B,"平均")</f>
        <v>0</v>
      </c>
      <c r="I21" s="86">
        <f>SUMIFS('0316 4度C'!$AD:$AD,'0316 4度C'!$A:$A,"新豐1線",'0316 4度C'!$B:$B,"平均")</f>
        <v>0</v>
      </c>
      <c r="J21" s="87">
        <f>SUMIFS('0316 4度C'!$AD:$AD,'0316 4度C'!$A:$A,"新豐10線",'0316 4度C'!$B:$B,"平均")</f>
        <v>0</v>
      </c>
      <c r="K21" s="88">
        <f>SUMIFS('0316 4度C'!$AD:$AD,'0316 4度C'!$A:$A,"新豐8線",'0316 4度C'!$B:$B,"平均")</f>
        <v>0</v>
      </c>
      <c r="L21" s="86">
        <f>SUMIFS('0316 4度C'!$AD:$AD,'0316 4度C'!$A:$A,"新豐9線",'0316 4度C'!$B:$B,"平均")</f>
        <v>0</v>
      </c>
      <c r="M21" s="87">
        <f>SUMIFS('0316 4度C'!$AD:$AD,'0316 4度C'!$A:$A,"新豐4線",'0316 4度C'!$B:$B,"平均")</f>
        <v>0</v>
      </c>
    </row>
    <row r="22" spans="2:13" ht="17.25" customHeight="1">
      <c r="B22" s="103" t="s">
        <v>1412</v>
      </c>
      <c r="C22" s="104"/>
      <c r="D22" s="89">
        <f>SUMIFS('0316 4度C'!$I:$I,'0316 4度C'!$A:$A,"新豐6線",'0316 4度C'!$B:$B,"平均")</f>
        <v>17.600000000000001</v>
      </c>
      <c r="E22" s="90">
        <f>SUMIFS('0316 4度C'!$I:$I,'0316 4度C'!$A:$A,"新豐2線",'0316 4度C'!$B:$B,"平均")</f>
        <v>17.666666666666668</v>
      </c>
      <c r="F22" s="90">
        <f>SUMIFS('0316 4度C'!$I:$I,'0316 4度C'!$A:$A,"新豐5線",'0316 4度C'!$B:$B,"平均")</f>
        <v>18.25</v>
      </c>
      <c r="G22" s="90">
        <f>SUMIFS('0316 4度C'!$I:$I,'0316 4度C'!$A:$A,"新豐7線",'0316 4度C'!$B:$B,"平均")</f>
        <v>15</v>
      </c>
      <c r="H22" s="90">
        <f>SUMIFS('0316 4度C'!$I:$I,'0316 4度C'!$A:$A,"新豐3線",'0316 4度C'!$B:$B,"平均")</f>
        <v>9.4444444444444446</v>
      </c>
      <c r="I22" s="90">
        <f>SUMIFS('0316 4度C'!$I:$I,'0316 4度C'!$A:$A,"新豐1線",'0316 4度C'!$B:$B,"平均")</f>
        <v>18.666666666666668</v>
      </c>
      <c r="J22" s="91">
        <f>SUMIFS('0316 4度C'!$I:$I,'0316 4度C'!$A:$A,"新豐10線",'0316 4度C'!$B:$B,"平均")</f>
        <v>10</v>
      </c>
      <c r="K22" s="89">
        <f>SUMIFS('0316 4度C'!$I:$I,'0316 4度C'!$A:$A,"新豐8線",'0316 4度C'!$B:$B,"平均")</f>
        <v>18</v>
      </c>
      <c r="L22" s="90">
        <f>SUMIFS('0316 4度C'!$I:$I,'0316 4度C'!$A:$A,"新豐9線",'0316 4度C'!$B:$B,"平均")</f>
        <v>17.5</v>
      </c>
      <c r="M22" s="91">
        <f>SUMIFS('0316 4度C'!$I:$I,'0316 4度C'!$A:$A,"新豐4線",'0316 4度C'!$B:$B,"平均")</f>
        <v>15</v>
      </c>
    </row>
    <row r="23" spans="2:13" ht="17.25" customHeight="1">
      <c r="B23" s="103" t="s">
        <v>1413</v>
      </c>
      <c r="C23" s="104"/>
      <c r="D23" s="92" t="s">
        <v>185</v>
      </c>
      <c r="E23" s="93" t="s">
        <v>186</v>
      </c>
      <c r="F23" s="93" t="s">
        <v>1414</v>
      </c>
      <c r="G23" s="93" t="s">
        <v>1414</v>
      </c>
      <c r="H23" s="93" t="s">
        <v>188</v>
      </c>
      <c r="I23" s="93" t="s">
        <v>185</v>
      </c>
      <c r="J23" s="94" t="s">
        <v>188</v>
      </c>
      <c r="K23" s="92" t="s">
        <v>642</v>
      </c>
      <c r="L23" s="93" t="s">
        <v>1415</v>
      </c>
      <c r="M23" s="94" t="s">
        <v>1415</v>
      </c>
    </row>
    <row r="24" spans="2:13" ht="17.25" customHeight="1">
      <c r="B24" s="103" t="s">
        <v>1416</v>
      </c>
      <c r="C24" s="104"/>
      <c r="D24" s="92"/>
      <c r="E24" s="93"/>
      <c r="F24" s="93" t="s">
        <v>1417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1418</v>
      </c>
      <c r="C25" s="106"/>
      <c r="D25" s="95"/>
      <c r="E25" s="96" t="s">
        <v>1419</v>
      </c>
      <c r="F25" s="99" t="s">
        <v>647</v>
      </c>
      <c r="G25" s="100"/>
      <c r="H25" s="96" t="s">
        <v>1420</v>
      </c>
      <c r="I25" s="96" t="s">
        <v>1421</v>
      </c>
      <c r="J25" s="97" t="s">
        <v>1420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sqref="A1:XFD1048576"/>
      <selection pane="bottomLeft" activeCell="C14" sqref="C14:D1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SUM(F5:F77)</f>
        <v>172449</v>
      </c>
      <c r="E1" s="4" t="s">
        <v>2</v>
      </c>
      <c r="F1" s="1">
        <f>SUM(G5:G77)</f>
        <v>5719168.7199999997</v>
      </c>
      <c r="G1" s="1" t="s">
        <v>3</v>
      </c>
      <c r="H1" s="5">
        <f>L10+L14+L54+L64+L19+L69+L35+L44+L26+L77</f>
        <v>157.12777777777779</v>
      </c>
      <c r="I1" s="212" t="s">
        <v>4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752</v>
      </c>
      <c r="T1" s="212"/>
      <c r="U1" s="212"/>
      <c r="V1" s="212"/>
      <c r="W1" s="212"/>
      <c r="X1" s="212"/>
      <c r="Y1" s="6" t="s">
        <v>8</v>
      </c>
      <c r="Z1" s="7" t="s">
        <v>9</v>
      </c>
      <c r="AA1" s="213" t="s">
        <v>1198</v>
      </c>
      <c r="AB1" s="213"/>
      <c r="AC1" s="42" t="s">
        <v>8</v>
      </c>
      <c r="AD1" s="7" t="s">
        <v>661</v>
      </c>
      <c r="AE1" s="212" t="s">
        <v>12</v>
      </c>
      <c r="AF1" s="214"/>
      <c r="AG1" s="214"/>
    </row>
    <row r="2" spans="1:33" ht="26.25" customHeight="1">
      <c r="A2" s="33">
        <v>46097</v>
      </c>
      <c r="B2" s="34" t="s">
        <v>258</v>
      </c>
      <c r="C2" s="2" t="s">
        <v>13</v>
      </c>
      <c r="D2" s="9">
        <f>AVERAGE(N10,N14,N54,N64,N19,N69,N26,N35,N44,N77)</f>
        <v>144.57454434847892</v>
      </c>
      <c r="E2" s="10" t="s">
        <v>14</v>
      </c>
      <c r="F2" s="11">
        <f>F1/D1</f>
        <v>33.164406404212258</v>
      </c>
      <c r="G2" s="1" t="s">
        <v>665</v>
      </c>
      <c r="H2" s="12">
        <f>COUNT(H5:H77)</f>
        <v>14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SUM(Y10+Y14+Y19+Y26+Y35+Y44+Y54+Y64+Y69+Y77)</f>
        <v>0</v>
      </c>
      <c r="Z2" s="13">
        <f>SUM(Z10+Z14+Z19+Z26+Z35+Z44+Z54+Z64+Z69+Z77)</f>
        <v>0</v>
      </c>
      <c r="AA2" s="213"/>
      <c r="AB2" s="213"/>
      <c r="AC2" s="13">
        <v>63</v>
      </c>
      <c r="AD2" s="13">
        <f>SUM(AD10+AD14+AD19+AD26+AD35+AD44+AD54+AD64+AD69+AD77)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667</v>
      </c>
      <c r="C3" s="162" t="s">
        <v>668</v>
      </c>
      <c r="D3" s="162"/>
      <c r="E3" s="210" t="s">
        <v>669</v>
      </c>
      <c r="F3" s="162" t="s">
        <v>20</v>
      </c>
      <c r="G3" s="210" t="s">
        <v>21</v>
      </c>
      <c r="H3" s="204" t="s">
        <v>672</v>
      </c>
      <c r="I3" s="202" t="s">
        <v>673</v>
      </c>
      <c r="J3" s="199" t="s">
        <v>24</v>
      </c>
      <c r="K3" s="209" t="s">
        <v>13</v>
      </c>
      <c r="L3" s="202" t="s">
        <v>673</v>
      </c>
      <c r="M3" s="199" t="s">
        <v>24</v>
      </c>
      <c r="N3" s="209" t="s">
        <v>13</v>
      </c>
      <c r="O3" s="202" t="s">
        <v>673</v>
      </c>
      <c r="P3" s="209" t="s">
        <v>13</v>
      </c>
      <c r="Q3" s="200" t="s">
        <v>35</v>
      </c>
      <c r="R3" s="178" t="s">
        <v>36</v>
      </c>
      <c r="S3" s="162" t="s">
        <v>27</v>
      </c>
      <c r="T3" s="162"/>
      <c r="U3" s="204" t="s">
        <v>28</v>
      </c>
      <c r="V3" s="204" t="s">
        <v>678</v>
      </c>
      <c r="W3" s="162" t="s">
        <v>30</v>
      </c>
      <c r="X3" s="162"/>
      <c r="Y3" s="205" t="s">
        <v>31</v>
      </c>
      <c r="Z3" s="166"/>
      <c r="AA3" s="206" t="s">
        <v>1422</v>
      </c>
      <c r="AB3" s="207"/>
      <c r="AC3" s="205" t="s">
        <v>682</v>
      </c>
      <c r="AD3" s="166"/>
      <c r="AE3" s="199" t="s">
        <v>1423</v>
      </c>
      <c r="AF3" s="200" t="s">
        <v>35</v>
      </c>
      <c r="AG3" s="178" t="s">
        <v>36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686</v>
      </c>
      <c r="X4" s="4" t="s">
        <v>822</v>
      </c>
      <c r="Y4" s="14" t="s">
        <v>41</v>
      </c>
      <c r="Z4" s="14" t="s">
        <v>42</v>
      </c>
      <c r="AA4" s="208"/>
      <c r="AB4" s="207"/>
      <c r="AC4" s="14" t="s">
        <v>690</v>
      </c>
      <c r="AD4" s="14" t="s">
        <v>1424</v>
      </c>
      <c r="AE4" s="199"/>
      <c r="AF4" s="200"/>
      <c r="AG4" s="178"/>
    </row>
    <row r="5" spans="1:33">
      <c r="A5" s="201" t="s">
        <v>46</v>
      </c>
      <c r="B5" s="35" t="s">
        <v>78</v>
      </c>
      <c r="C5" s="203" t="s">
        <v>79</v>
      </c>
      <c r="D5" s="203"/>
      <c r="E5" s="35">
        <v>50.67</v>
      </c>
      <c r="F5" s="4">
        <v>1622</v>
      </c>
      <c r="G5" s="4">
        <f t="shared" ref="G5:G9" si="0">E5*F5</f>
        <v>82186.740000000005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1908.235294117648</v>
      </c>
      <c r="N5" s="16">
        <f t="shared" ref="N5:N68" si="3">M5/L5</f>
        <v>112.24913494809694</v>
      </c>
      <c r="O5" s="18">
        <f t="shared" ref="O5:O68" si="4">L5-I5</f>
        <v>0</v>
      </c>
      <c r="P5" s="19">
        <f t="shared" ref="P5:P68" si="5">N5-K5</f>
        <v>-5.3979238754324683</v>
      </c>
      <c r="Q5" s="20">
        <f t="shared" ref="Q5:Q68" si="6">N5/K5</f>
        <v>0.95411764705882407</v>
      </c>
      <c r="R5" s="170">
        <f>Q10</f>
        <v>0.94956458976728064</v>
      </c>
      <c r="S5" s="27">
        <v>0.70833333333333337</v>
      </c>
      <c r="T5" s="27">
        <v>0.74375000000000002</v>
      </c>
      <c r="U5" s="4"/>
      <c r="V5" s="21">
        <f t="shared" ref="V5:V9" si="7">(T5-S5)*24*60</f>
        <v>50.999999999999979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3" si="8">M5-J5</f>
        <v>-91.764705882352018</v>
      </c>
      <c r="AF5" s="20">
        <f t="shared" ref="AF5:AF68" si="9">M5/J5</f>
        <v>0.95411764705882396</v>
      </c>
      <c r="AG5" s="170">
        <f>AF10</f>
        <v>0.94956458976728064</v>
      </c>
    </row>
    <row r="6" spans="1:33">
      <c r="A6" s="202" t="s">
        <v>46</v>
      </c>
      <c r="B6" s="35" t="s">
        <v>78</v>
      </c>
      <c r="C6" s="203" t="s">
        <v>80</v>
      </c>
      <c r="D6" s="203"/>
      <c r="E6" s="35">
        <v>54.09</v>
      </c>
      <c r="F6" s="4">
        <v>1309</v>
      </c>
      <c r="G6" s="4">
        <f t="shared" si="0"/>
        <v>70803.81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1915.6097560975602</v>
      </c>
      <c r="N6" s="16">
        <f t="shared" si="3"/>
        <v>100.82156611039791</v>
      </c>
      <c r="O6" s="18">
        <f t="shared" si="4"/>
        <v>0</v>
      </c>
      <c r="P6" s="19">
        <f t="shared" si="5"/>
        <v>-4.4415917843389252</v>
      </c>
      <c r="Q6" s="20">
        <f t="shared" si="6"/>
        <v>0.95780487804878023</v>
      </c>
      <c r="R6" s="170"/>
      <c r="S6" s="27">
        <v>0.74791666666666667</v>
      </c>
      <c r="T6" s="27">
        <v>0.77638888888888891</v>
      </c>
      <c r="U6" s="4">
        <f t="shared" ref="U6:U9" si="10">IF(S6=TIME(17,0,0),"",(S6-T5)*24*60)</f>
        <v>5.9999999999999787</v>
      </c>
      <c r="V6" s="21">
        <f t="shared" si="7"/>
        <v>41.000000000000014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-84.390243902439806</v>
      </c>
      <c r="AF6" s="20">
        <f t="shared" si="9"/>
        <v>0.95780487804878012</v>
      </c>
      <c r="AG6" s="170"/>
    </row>
    <row r="7" spans="1:33">
      <c r="A7" s="202" t="s">
        <v>46</v>
      </c>
      <c r="B7" s="35" t="s">
        <v>78</v>
      </c>
      <c r="C7" s="197" t="s">
        <v>81</v>
      </c>
      <c r="D7" s="198"/>
      <c r="E7" s="35">
        <v>50.29</v>
      </c>
      <c r="F7" s="4">
        <v>501</v>
      </c>
      <c r="G7" s="4">
        <f t="shared" si="0"/>
        <v>25195.29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1878.7499999999879</v>
      </c>
      <c r="N7" s="16">
        <f t="shared" si="3"/>
        <v>117.42187499999925</v>
      </c>
      <c r="O7" s="18">
        <f t="shared" si="4"/>
        <v>0</v>
      </c>
      <c r="P7" s="19">
        <f t="shared" si="5"/>
        <v>-7.5781250000007532</v>
      </c>
      <c r="Q7" s="20">
        <f t="shared" si="6"/>
        <v>0.93937499999999396</v>
      </c>
      <c r="R7" s="170"/>
      <c r="S7" s="27">
        <v>0.77986111111111112</v>
      </c>
      <c r="T7" s="27">
        <v>0.7909722222222223</v>
      </c>
      <c r="U7" s="4">
        <f t="shared" si="10"/>
        <v>4.9999999999999822</v>
      </c>
      <c r="V7" s="21">
        <f t="shared" si="7"/>
        <v>16.000000000000103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-121.25000000001205</v>
      </c>
      <c r="AF7" s="20">
        <f t="shared" si="9"/>
        <v>0.93937499999999396</v>
      </c>
      <c r="AG7" s="170"/>
    </row>
    <row r="8" spans="1:33">
      <c r="A8" s="202" t="s">
        <v>46</v>
      </c>
      <c r="B8" s="35" t="s">
        <v>78</v>
      </c>
      <c r="C8" s="197" t="s">
        <v>82</v>
      </c>
      <c r="D8" s="198"/>
      <c r="E8" s="35">
        <v>50.67</v>
      </c>
      <c r="F8" s="4">
        <v>374</v>
      </c>
      <c r="G8" s="4">
        <f t="shared" si="0"/>
        <v>18950.580000000002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1869.9999999999818</v>
      </c>
      <c r="N8" s="16">
        <f t="shared" si="3"/>
        <v>89.047619047618184</v>
      </c>
      <c r="O8" s="18">
        <f t="shared" si="4"/>
        <v>0</v>
      </c>
      <c r="P8" s="19">
        <f t="shared" si="5"/>
        <v>-6.1904761904770567</v>
      </c>
      <c r="Q8" s="20">
        <f t="shared" si="6"/>
        <v>0.93499999999999095</v>
      </c>
      <c r="R8" s="170"/>
      <c r="S8" s="27">
        <v>0.79374999999999996</v>
      </c>
      <c r="T8" s="27">
        <v>0.80208333333333337</v>
      </c>
      <c r="U8" s="4">
        <f t="shared" si="10"/>
        <v>3.9999999999998259</v>
      </c>
      <c r="V8" s="21">
        <f t="shared" si="7"/>
        <v>12.000000000000117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-130.00000000001819</v>
      </c>
      <c r="AF8" s="20">
        <f t="shared" si="9"/>
        <v>0.93499999999999095</v>
      </c>
      <c r="AG8" s="170"/>
    </row>
    <row r="9" spans="1:33">
      <c r="A9" s="202" t="s">
        <v>46</v>
      </c>
      <c r="B9" s="35" t="s">
        <v>78</v>
      </c>
      <c r="C9" s="197" t="s">
        <v>91</v>
      </c>
      <c r="D9" s="198"/>
      <c r="E9" s="35">
        <v>50.67</v>
      </c>
      <c r="F9" s="4">
        <v>1891</v>
      </c>
      <c r="G9" s="4">
        <f t="shared" si="0"/>
        <v>95816.97</v>
      </c>
      <c r="H9" s="21" t="s">
        <v>133</v>
      </c>
      <c r="I9" s="15">
        <v>15</v>
      </c>
      <c r="J9" s="17">
        <v>2000</v>
      </c>
      <c r="K9" s="16">
        <f t="shared" si="1"/>
        <v>133.33333333333334</v>
      </c>
      <c r="L9" s="15">
        <v>15</v>
      </c>
      <c r="M9" s="17">
        <f t="shared" si="2"/>
        <v>1923.0508474576286</v>
      </c>
      <c r="N9" s="16">
        <f t="shared" si="3"/>
        <v>128.20338983050857</v>
      </c>
      <c r="O9" s="18">
        <f t="shared" si="4"/>
        <v>0</v>
      </c>
      <c r="P9" s="19">
        <f t="shared" si="5"/>
        <v>-5.1299435028247728</v>
      </c>
      <c r="Q9" s="20">
        <f t="shared" si="6"/>
        <v>0.96152542372881422</v>
      </c>
      <c r="R9" s="170"/>
      <c r="S9" s="27">
        <v>0.80555555555555547</v>
      </c>
      <c r="T9" s="27">
        <v>0.84652777777777766</v>
      </c>
      <c r="U9" s="4">
        <f t="shared" si="10"/>
        <v>4.9999999999998224</v>
      </c>
      <c r="V9" s="21">
        <f t="shared" si="7"/>
        <v>58.99999999999995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-76.949152542371394</v>
      </c>
      <c r="AF9" s="20">
        <f t="shared" si="9"/>
        <v>0.96152542372881433</v>
      </c>
      <c r="AG9" s="170"/>
    </row>
    <row r="10" spans="1:33">
      <c r="A10" s="202" t="s">
        <v>46</v>
      </c>
      <c r="B10" s="35" t="s">
        <v>48</v>
      </c>
      <c r="C10" s="171"/>
      <c r="D10" s="171"/>
      <c r="E10" s="36"/>
      <c r="F10" s="16"/>
      <c r="G10" s="16"/>
      <c r="H10" s="4"/>
      <c r="I10" s="29">
        <v>17.600000000000001</v>
      </c>
      <c r="J10" s="17">
        <v>2000</v>
      </c>
      <c r="K10" s="16">
        <f t="shared" si="1"/>
        <v>113.63636363636363</v>
      </c>
      <c r="L10" s="29">
        <v>17.600000000000001</v>
      </c>
      <c r="M10" s="17">
        <f>AVERAGE(M5:M9)</f>
        <v>1899.1291795345612</v>
      </c>
      <c r="N10" s="16">
        <f t="shared" si="3"/>
        <v>107.90506701900915</v>
      </c>
      <c r="O10" s="18">
        <f t="shared" si="4"/>
        <v>0</v>
      </c>
      <c r="P10" s="19">
        <f t="shared" si="5"/>
        <v>-5.7312966173544737</v>
      </c>
      <c r="Q10" s="20">
        <f t="shared" si="6"/>
        <v>0.94956458976728064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-100.87082046543878</v>
      </c>
      <c r="AF10" s="20">
        <f t="shared" si="9"/>
        <v>0.94956458976728064</v>
      </c>
      <c r="AG10" s="170"/>
    </row>
    <row r="11" spans="1:33" ht="15.75" customHeight="1">
      <c r="A11" s="196" t="s">
        <v>695</v>
      </c>
      <c r="B11" s="35" t="s">
        <v>84</v>
      </c>
      <c r="C11" s="197" t="s">
        <v>85</v>
      </c>
      <c r="D11" s="198"/>
      <c r="E11" s="35">
        <v>39.619999999999997</v>
      </c>
      <c r="F11" s="4">
        <v>4502</v>
      </c>
      <c r="G11" s="4">
        <f t="shared" ref="G11:G13" si="11">E11*F11</f>
        <v>178369.24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3" si="12">F11/V11*60</f>
        <v>1429.2063492063489</v>
      </c>
      <c r="N11" s="16">
        <f t="shared" si="3"/>
        <v>75.221386800334159</v>
      </c>
      <c r="O11" s="18">
        <f t="shared" si="4"/>
        <v>0</v>
      </c>
      <c r="P11" s="19">
        <f t="shared" si="5"/>
        <v>-3.7259816207184713</v>
      </c>
      <c r="Q11" s="20">
        <f t="shared" si="6"/>
        <v>0.95280423280423265</v>
      </c>
      <c r="R11" s="170">
        <f>Q14</f>
        <v>0.95522505740825914</v>
      </c>
      <c r="S11" s="27">
        <v>0.20833333333333334</v>
      </c>
      <c r="T11" s="27">
        <v>0.33958333333333335</v>
      </c>
      <c r="U11" s="4"/>
      <c r="V11" s="21">
        <f t="shared" ref="V11:V13" si="13">(T11-S11)*24*60</f>
        <v>189.00000000000003</v>
      </c>
      <c r="W11" s="22"/>
      <c r="X11" s="22"/>
      <c r="Y11" s="22"/>
      <c r="Z11" s="22"/>
      <c r="AA11" s="162"/>
      <c r="AB11" s="162"/>
      <c r="AC11" s="24">
        <v>3</v>
      </c>
      <c r="AD11" s="24"/>
      <c r="AE11" s="18">
        <f t="shared" si="8"/>
        <v>-70.793650793651068</v>
      </c>
      <c r="AF11" s="20">
        <f t="shared" si="9"/>
        <v>0.95280423280423265</v>
      </c>
      <c r="AG11" s="170">
        <f>AF14</f>
        <v>0.95522505740825914</v>
      </c>
    </row>
    <row r="12" spans="1:33" ht="15.75" customHeight="1">
      <c r="A12" s="196" t="s">
        <v>695</v>
      </c>
      <c r="B12" s="35" t="s">
        <v>84</v>
      </c>
      <c r="C12" s="197" t="s">
        <v>86</v>
      </c>
      <c r="D12" s="198"/>
      <c r="E12" s="35">
        <v>39.799999999999997</v>
      </c>
      <c r="F12" s="4">
        <v>4800</v>
      </c>
      <c r="G12" s="4">
        <f t="shared" si="11"/>
        <v>191040</v>
      </c>
      <c r="H12" s="21">
        <v>2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1432.8358208955224</v>
      </c>
      <c r="N12" s="16">
        <f t="shared" si="3"/>
        <v>84.284460052677787</v>
      </c>
      <c r="O12" s="18">
        <f t="shared" si="4"/>
        <v>0</v>
      </c>
      <c r="P12" s="19">
        <f t="shared" si="5"/>
        <v>-3.9508340649692713</v>
      </c>
      <c r="Q12" s="20">
        <f t="shared" si="6"/>
        <v>0.95522388059701491</v>
      </c>
      <c r="R12" s="170"/>
      <c r="S12" s="27">
        <v>0.34305555555555556</v>
      </c>
      <c r="T12" s="27">
        <v>0.4826388888888889</v>
      </c>
      <c r="U12" s="4">
        <f t="shared" ref="U12:U13" si="14">IF(S12=TIME(17,0,0),"",(S12-T11)*24*60)</f>
        <v>4.9999999999999822</v>
      </c>
      <c r="V12" s="21">
        <f t="shared" si="13"/>
        <v>201</v>
      </c>
      <c r="W12" s="22">
        <f>T12</f>
        <v>0.4826388888888889</v>
      </c>
      <c r="X12" s="22">
        <f>S13</f>
        <v>0.5215277777777777</v>
      </c>
      <c r="Y12" s="22"/>
      <c r="Z12" s="22"/>
      <c r="AA12" s="162"/>
      <c r="AB12" s="162"/>
      <c r="AC12" s="24"/>
      <c r="AD12" s="24"/>
      <c r="AE12" s="18">
        <f t="shared" si="8"/>
        <v>-67.164179104477626</v>
      </c>
      <c r="AF12" s="20">
        <f t="shared" si="9"/>
        <v>0.95522388059701491</v>
      </c>
      <c r="AG12" s="170"/>
    </row>
    <row r="13" spans="1:33" ht="15.75" customHeight="1">
      <c r="A13" s="196" t="s">
        <v>695</v>
      </c>
      <c r="B13" s="35" t="s">
        <v>84</v>
      </c>
      <c r="C13" s="197" t="s">
        <v>86</v>
      </c>
      <c r="D13" s="198"/>
      <c r="E13" s="35">
        <v>39.799999999999997</v>
      </c>
      <c r="F13" s="4">
        <v>2442</v>
      </c>
      <c r="G13" s="4">
        <f t="shared" si="11"/>
        <v>97191.599999999991</v>
      </c>
      <c r="H13" s="21" t="s">
        <v>133</v>
      </c>
      <c r="I13" s="15">
        <v>17</v>
      </c>
      <c r="J13" s="17">
        <v>1500</v>
      </c>
      <c r="K13" s="16">
        <f t="shared" si="1"/>
        <v>88.235294117647058</v>
      </c>
      <c r="L13" s="15">
        <v>17</v>
      </c>
      <c r="M13" s="17">
        <f t="shared" si="12"/>
        <v>1436.4705882352948</v>
      </c>
      <c r="N13" s="16">
        <f t="shared" si="3"/>
        <v>84.498269896193818</v>
      </c>
      <c r="O13" s="18">
        <f t="shared" si="4"/>
        <v>0</v>
      </c>
      <c r="P13" s="19">
        <f t="shared" si="5"/>
        <v>-3.7370242214532396</v>
      </c>
      <c r="Q13" s="20">
        <f t="shared" si="6"/>
        <v>0.95764705882352996</v>
      </c>
      <c r="R13" s="170"/>
      <c r="S13" s="27">
        <v>0.5215277777777777</v>
      </c>
      <c r="T13" s="27">
        <v>0.59236111111111101</v>
      </c>
      <c r="U13" s="4">
        <f t="shared" si="14"/>
        <v>55.999999999999879</v>
      </c>
      <c r="V13" s="21">
        <f t="shared" si="13"/>
        <v>101.99999999999996</v>
      </c>
      <c r="W13" s="22"/>
      <c r="X13" s="22"/>
      <c r="Y13" s="22"/>
      <c r="Z13" s="22"/>
      <c r="AA13" s="162"/>
      <c r="AB13" s="162"/>
      <c r="AC13" s="24"/>
      <c r="AD13" s="24"/>
      <c r="AE13" s="18">
        <f t="shared" si="8"/>
        <v>-63.529411764705173</v>
      </c>
      <c r="AF13" s="20">
        <f t="shared" si="9"/>
        <v>0.95764705882352985</v>
      </c>
      <c r="AG13" s="170"/>
    </row>
    <row r="14" spans="1:33" ht="16.5" customHeight="1">
      <c r="A14" s="196" t="s">
        <v>695</v>
      </c>
      <c r="B14" s="35" t="s">
        <v>48</v>
      </c>
      <c r="C14" s="171"/>
      <c r="D14" s="171"/>
      <c r="E14" s="36"/>
      <c r="F14" s="17"/>
      <c r="G14" s="17"/>
      <c r="H14" s="4"/>
      <c r="I14" s="29">
        <v>17.666666666666668</v>
      </c>
      <c r="J14" s="17">
        <v>1500</v>
      </c>
      <c r="K14" s="16">
        <f t="shared" si="1"/>
        <v>84.905660377358487</v>
      </c>
      <c r="L14" s="29">
        <v>17.666666666666668</v>
      </c>
      <c r="M14" s="17">
        <f>AVERAGE(M11:M13)</f>
        <v>1432.8375861123886</v>
      </c>
      <c r="N14" s="16">
        <f t="shared" si="3"/>
        <v>81.104014308248409</v>
      </c>
      <c r="O14" s="18">
        <f t="shared" si="4"/>
        <v>0</v>
      </c>
      <c r="P14" s="19">
        <f t="shared" si="5"/>
        <v>-3.8016460691100775</v>
      </c>
      <c r="Q14" s="20">
        <f t="shared" si="6"/>
        <v>0.95522505740825914</v>
      </c>
      <c r="R14" s="170"/>
      <c r="S14" s="27"/>
      <c r="T14" s="27"/>
      <c r="U14" s="16"/>
      <c r="V14" s="21"/>
      <c r="W14" s="16"/>
      <c r="X14" s="16"/>
      <c r="Y14" s="30">
        <f>SUM(Y11:Y13)</f>
        <v>0</v>
      </c>
      <c r="Z14" s="30">
        <f>SUM(Z11:Z13)</f>
        <v>0</v>
      </c>
      <c r="AA14" s="166"/>
      <c r="AB14" s="166"/>
      <c r="AC14" s="30">
        <v>3</v>
      </c>
      <c r="AD14" s="30">
        <f>SUM(AD11:AD13)</f>
        <v>0</v>
      </c>
      <c r="AE14" s="18">
        <f t="shared" si="8"/>
        <v>-67.162413887611365</v>
      </c>
      <c r="AF14" s="20">
        <f t="shared" si="9"/>
        <v>0.95522505740825914</v>
      </c>
      <c r="AG14" s="170"/>
    </row>
    <row r="15" spans="1:33" ht="16.5" customHeight="1">
      <c r="A15" s="194" t="s">
        <v>50</v>
      </c>
      <c r="B15" s="4" t="s">
        <v>87</v>
      </c>
      <c r="C15" s="190" t="s">
        <v>88</v>
      </c>
      <c r="D15" s="190"/>
      <c r="E15" s="35">
        <v>41</v>
      </c>
      <c r="F15" s="4">
        <v>3505</v>
      </c>
      <c r="G15" s="4">
        <f t="shared" ref="G15:G18" si="15">E15*F15</f>
        <v>143705</v>
      </c>
      <c r="H15" s="21" t="s">
        <v>133</v>
      </c>
      <c r="I15" s="15">
        <v>26</v>
      </c>
      <c r="J15" s="17">
        <v>1500</v>
      </c>
      <c r="K15" s="16">
        <f t="shared" si="1"/>
        <v>57.692307692307693</v>
      </c>
      <c r="L15" s="15">
        <v>26</v>
      </c>
      <c r="M15" s="17">
        <f t="shared" ref="M15:M18" si="16">F15/V15*60</f>
        <v>1430.6122448979593</v>
      </c>
      <c r="N15" s="16">
        <f t="shared" si="3"/>
        <v>55.023547880690742</v>
      </c>
      <c r="O15" s="18">
        <f t="shared" si="4"/>
        <v>0</v>
      </c>
      <c r="P15" s="19">
        <f t="shared" si="5"/>
        <v>-2.6687598116169511</v>
      </c>
      <c r="Q15" s="20">
        <f t="shared" si="6"/>
        <v>0.95374149659863949</v>
      </c>
      <c r="R15" s="170">
        <f>Q19</f>
        <v>0.95748851931016221</v>
      </c>
      <c r="S15" s="27">
        <v>0.20833333333333334</v>
      </c>
      <c r="T15" s="27">
        <v>0.31041666666666667</v>
      </c>
      <c r="U15" s="4"/>
      <c r="V15" s="21">
        <f t="shared" ref="V15:V18" si="17">(T15-S15)*24*60</f>
        <v>147</v>
      </c>
      <c r="W15" s="27"/>
      <c r="X15" s="27"/>
      <c r="Y15" s="27"/>
      <c r="Z15" s="27"/>
      <c r="AA15" s="162"/>
      <c r="AB15" s="162"/>
      <c r="AC15" s="24">
        <v>4</v>
      </c>
      <c r="AD15" s="24"/>
      <c r="AE15" s="18">
        <f t="shared" si="8"/>
        <v>-69.387755102040728</v>
      </c>
      <c r="AF15" s="20">
        <f t="shared" si="9"/>
        <v>0.95374149659863949</v>
      </c>
      <c r="AG15" s="170">
        <f>AF19</f>
        <v>0.9574885193101621</v>
      </c>
    </row>
    <row r="16" spans="1:33" ht="16.5" customHeight="1">
      <c r="A16" s="195" t="s">
        <v>50</v>
      </c>
      <c r="B16" s="4" t="s">
        <v>78</v>
      </c>
      <c r="C16" s="190" t="s">
        <v>89</v>
      </c>
      <c r="D16" s="190"/>
      <c r="E16" s="35">
        <v>50.98</v>
      </c>
      <c r="F16" s="4">
        <v>2701</v>
      </c>
      <c r="G16" s="4">
        <f t="shared" si="15"/>
        <v>137696.97999999998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1906.5882352941173</v>
      </c>
      <c r="N16" s="16">
        <f t="shared" si="3"/>
        <v>119.16176470588233</v>
      </c>
      <c r="O16" s="18">
        <f t="shared" si="4"/>
        <v>0</v>
      </c>
      <c r="P16" s="19">
        <f t="shared" si="5"/>
        <v>-5.8382352941176663</v>
      </c>
      <c r="Q16" s="20">
        <f t="shared" si="6"/>
        <v>0.95329411764705863</v>
      </c>
      <c r="R16" s="170"/>
      <c r="S16" s="27">
        <v>0.70833333333333337</v>
      </c>
      <c r="T16" s="27">
        <v>0.76736111111111116</v>
      </c>
      <c r="U16" s="4" t="str">
        <f t="shared" ref="U16:U18" si="18">IF(S16=TIME(17,0,0),"",(S16-T15)*24*60)</f>
        <v/>
      </c>
      <c r="V16" s="21">
        <f t="shared" si="17"/>
        <v>85.000000000000014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-93.411764705882661</v>
      </c>
      <c r="AF16" s="20">
        <f t="shared" si="9"/>
        <v>0.95329411764705863</v>
      </c>
      <c r="AG16" s="170"/>
    </row>
    <row r="17" spans="1:33" ht="16.5" customHeight="1">
      <c r="A17" s="195" t="s">
        <v>50</v>
      </c>
      <c r="B17" s="4" t="s">
        <v>78</v>
      </c>
      <c r="C17" s="190" t="s">
        <v>83</v>
      </c>
      <c r="D17" s="190"/>
      <c r="E17" s="35">
        <v>50.67</v>
      </c>
      <c r="F17" s="4">
        <v>769</v>
      </c>
      <c r="G17" s="4">
        <f t="shared" si="15"/>
        <v>38965.230000000003</v>
      </c>
      <c r="H17" s="21" t="s">
        <v>133</v>
      </c>
      <c r="I17" s="15">
        <v>16</v>
      </c>
      <c r="J17" s="17">
        <v>2000</v>
      </c>
      <c r="K17" s="16">
        <f t="shared" si="1"/>
        <v>125</v>
      </c>
      <c r="L17" s="15">
        <v>16</v>
      </c>
      <c r="M17" s="17">
        <f t="shared" si="16"/>
        <v>1922.4999999999939</v>
      </c>
      <c r="N17" s="16">
        <f t="shared" si="3"/>
        <v>120.15624999999962</v>
      </c>
      <c r="O17" s="18">
        <f t="shared" si="4"/>
        <v>0</v>
      </c>
      <c r="P17" s="19">
        <f t="shared" si="5"/>
        <v>-4.8437500000003837</v>
      </c>
      <c r="Q17" s="20">
        <f t="shared" si="6"/>
        <v>0.96124999999999694</v>
      </c>
      <c r="R17" s="170"/>
      <c r="S17" s="27">
        <v>0.7729166666666667</v>
      </c>
      <c r="T17" s="27">
        <v>0.78958333333333341</v>
      </c>
      <c r="U17" s="4">
        <f t="shared" si="18"/>
        <v>7.9999999999999716</v>
      </c>
      <c r="V17" s="21">
        <f t="shared" si="17"/>
        <v>24.000000000000075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-77.500000000006139</v>
      </c>
      <c r="AF17" s="20">
        <f t="shared" si="9"/>
        <v>0.96124999999999694</v>
      </c>
      <c r="AG17" s="170"/>
    </row>
    <row r="18" spans="1:33" ht="16.5" customHeight="1">
      <c r="A18" s="195" t="s">
        <v>50</v>
      </c>
      <c r="B18" s="4" t="s">
        <v>78</v>
      </c>
      <c r="C18" s="190" t="s">
        <v>90</v>
      </c>
      <c r="D18" s="190"/>
      <c r="E18" s="35">
        <v>50.92</v>
      </c>
      <c r="F18" s="4">
        <v>2626</v>
      </c>
      <c r="G18" s="4">
        <f t="shared" si="15"/>
        <v>133715.92000000001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1921.4634146341459</v>
      </c>
      <c r="N18" s="16">
        <f t="shared" si="3"/>
        <v>128.09756097560972</v>
      </c>
      <c r="O18" s="18">
        <f t="shared" si="4"/>
        <v>0</v>
      </c>
      <c r="P18" s="19">
        <f t="shared" si="5"/>
        <v>-5.2357723577236186</v>
      </c>
      <c r="Q18" s="20">
        <f t="shared" si="6"/>
        <v>0.96073170731707291</v>
      </c>
      <c r="R18" s="170"/>
      <c r="S18" s="27">
        <v>0.79444444444444451</v>
      </c>
      <c r="T18" s="27">
        <v>0.85138888888888897</v>
      </c>
      <c r="U18" s="4">
        <f t="shared" si="18"/>
        <v>6.9999999999999751</v>
      </c>
      <c r="V18" s="21">
        <f t="shared" si="17"/>
        <v>82.000000000000028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-78.53658536585408</v>
      </c>
      <c r="AF18" s="20">
        <f t="shared" si="9"/>
        <v>0.96073170731707291</v>
      </c>
      <c r="AG18" s="170"/>
    </row>
    <row r="19" spans="1:33" ht="16.5" customHeight="1">
      <c r="A19" s="195" t="s">
        <v>1425</v>
      </c>
      <c r="B19" s="35" t="s">
        <v>48</v>
      </c>
      <c r="C19" s="171"/>
      <c r="D19" s="171"/>
      <c r="E19" s="36"/>
      <c r="F19" s="16"/>
      <c r="G19" s="16"/>
      <c r="H19" s="4"/>
      <c r="I19" s="29">
        <v>18.25</v>
      </c>
      <c r="J19" s="17">
        <v>1875</v>
      </c>
      <c r="K19" s="16">
        <f t="shared" si="1"/>
        <v>102.73972602739725</v>
      </c>
      <c r="L19" s="29">
        <v>18.25</v>
      </c>
      <c r="M19" s="17">
        <f>AVERAGE(M15:M18)</f>
        <v>1795.290973706554</v>
      </c>
      <c r="N19" s="16">
        <f t="shared" si="3"/>
        <v>98.372108148304335</v>
      </c>
      <c r="O19" s="18">
        <f t="shared" si="4"/>
        <v>0</v>
      </c>
      <c r="P19" s="19">
        <f t="shared" si="5"/>
        <v>-4.3676178790929185</v>
      </c>
      <c r="Q19" s="20">
        <f t="shared" si="6"/>
        <v>0.95748851931016221</v>
      </c>
      <c r="R19" s="170"/>
      <c r="S19" s="27"/>
      <c r="T19" s="27"/>
      <c r="U19" s="4"/>
      <c r="V19" s="21"/>
      <c r="W19" s="16"/>
      <c r="X19" s="16"/>
      <c r="Y19" s="30">
        <f>SUM(Y15:Y18)</f>
        <v>0</v>
      </c>
      <c r="Z19" s="30">
        <f>SUM(Z15:Z18)</f>
        <v>0</v>
      </c>
      <c r="AA19" s="166"/>
      <c r="AB19" s="166"/>
      <c r="AC19" s="30">
        <v>4</v>
      </c>
      <c r="AD19" s="30">
        <f>SUM(AD15:AD18)</f>
        <v>0</v>
      </c>
      <c r="AE19" s="18">
        <f t="shared" si="8"/>
        <v>-79.709026293445959</v>
      </c>
      <c r="AF19" s="20">
        <f t="shared" si="9"/>
        <v>0.9574885193101621</v>
      </c>
      <c r="AG19" s="170"/>
    </row>
    <row r="20" spans="1:33" ht="15.75" customHeight="1">
      <c r="A20" s="192" t="s">
        <v>52</v>
      </c>
      <c r="B20" s="35" t="s">
        <v>78</v>
      </c>
      <c r="C20" s="190" t="s">
        <v>92</v>
      </c>
      <c r="D20" s="190"/>
      <c r="E20" s="35">
        <v>57.73</v>
      </c>
      <c r="F20" s="4">
        <v>2977</v>
      </c>
      <c r="G20" s="4">
        <f t="shared" ref="G20:G25" si="19">E20*F20</f>
        <v>171862.21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5" si="20">F20/V20*60</f>
        <v>1920.645161290322</v>
      </c>
      <c r="N20" s="16">
        <f t="shared" si="3"/>
        <v>137.18894009216586</v>
      </c>
      <c r="O20" s="18">
        <f t="shared" si="4"/>
        <v>0</v>
      </c>
      <c r="P20" s="19">
        <f t="shared" si="5"/>
        <v>-5.6682027649769964</v>
      </c>
      <c r="Q20" s="20">
        <f t="shared" si="6"/>
        <v>0.96032258064516107</v>
      </c>
      <c r="R20" s="170">
        <f>Q26</f>
        <v>0.95623913720687981</v>
      </c>
      <c r="S20" s="27">
        <v>0.20833333333333334</v>
      </c>
      <c r="T20" s="27">
        <v>0.2729166666666667</v>
      </c>
      <c r="U20" s="4"/>
      <c r="V20" s="21">
        <f t="shared" ref="V20:V25" si="21">(T20-S20)*24*60</f>
        <v>93.000000000000028</v>
      </c>
      <c r="W20" s="27"/>
      <c r="X20" s="27"/>
      <c r="Y20" s="27"/>
      <c r="Z20" s="27"/>
      <c r="AA20" s="162"/>
      <c r="AB20" s="162"/>
      <c r="AC20" s="24">
        <v>6</v>
      </c>
      <c r="AD20" s="24"/>
      <c r="AE20" s="18">
        <f t="shared" si="8"/>
        <v>-79.354838709678006</v>
      </c>
      <c r="AF20" s="20">
        <f t="shared" si="9"/>
        <v>0.96032258064516096</v>
      </c>
      <c r="AG20" s="170">
        <f>AF26</f>
        <v>0.95623913720687981</v>
      </c>
    </row>
    <row r="21" spans="1:33" ht="15.75" customHeight="1">
      <c r="A21" s="193" t="s">
        <v>52</v>
      </c>
      <c r="B21" s="35" t="s">
        <v>78</v>
      </c>
      <c r="C21" s="190" t="s">
        <v>93</v>
      </c>
      <c r="D21" s="190"/>
      <c r="E21" s="35">
        <v>53.68</v>
      </c>
      <c r="F21" s="4">
        <v>1667</v>
      </c>
      <c r="G21" s="4">
        <f t="shared" si="19"/>
        <v>89484.56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1923.4615384615397</v>
      </c>
      <c r="N21" s="16">
        <f t="shared" si="3"/>
        <v>120.21634615384623</v>
      </c>
      <c r="O21" s="18">
        <f t="shared" si="4"/>
        <v>0</v>
      </c>
      <c r="P21" s="19">
        <f t="shared" si="5"/>
        <v>-4.7836538461537685</v>
      </c>
      <c r="Q21" s="20">
        <f t="shared" si="6"/>
        <v>0.96173076923076983</v>
      </c>
      <c r="R21" s="170"/>
      <c r="S21" s="27">
        <v>0.27708333333333335</v>
      </c>
      <c r="T21" s="27">
        <v>0.31319444444444444</v>
      </c>
      <c r="U21" s="4">
        <f t="shared" ref="U21:U25" si="22">IF(S21=TIME(17,0,0),"",(S21-T20)*24*60)</f>
        <v>5.9999999999999787</v>
      </c>
      <c r="V21" s="21">
        <f t="shared" si="21"/>
        <v>51.999999999999972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-76.538461538460297</v>
      </c>
      <c r="AF21" s="20">
        <f t="shared" si="9"/>
        <v>0.96173076923076983</v>
      </c>
      <c r="AG21" s="170"/>
    </row>
    <row r="22" spans="1:33" ht="15.75" customHeight="1">
      <c r="A22" s="193" t="s">
        <v>52</v>
      </c>
      <c r="B22" s="35" t="s">
        <v>78</v>
      </c>
      <c r="C22" s="190" t="s">
        <v>94</v>
      </c>
      <c r="D22" s="190"/>
      <c r="E22" s="35">
        <v>50.49</v>
      </c>
      <c r="F22" s="4">
        <v>2294</v>
      </c>
      <c r="G22" s="4">
        <f t="shared" si="19"/>
        <v>115824.06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1911.6666666666652</v>
      </c>
      <c r="N22" s="16">
        <f t="shared" si="3"/>
        <v>127.44444444444434</v>
      </c>
      <c r="O22" s="18">
        <f t="shared" si="4"/>
        <v>0</v>
      </c>
      <c r="P22" s="19">
        <f t="shared" si="5"/>
        <v>-5.8888888888889994</v>
      </c>
      <c r="Q22" s="20">
        <f t="shared" si="6"/>
        <v>0.95583333333333254</v>
      </c>
      <c r="R22" s="170"/>
      <c r="S22" s="27">
        <v>0.70833333333333337</v>
      </c>
      <c r="T22" s="27">
        <v>0.75833333333333341</v>
      </c>
      <c r="U22" s="4" t="str">
        <f t="shared" si="22"/>
        <v/>
      </c>
      <c r="V22" s="21">
        <f t="shared" si="21"/>
        <v>72.000000000000057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-88.333333333334849</v>
      </c>
      <c r="AF22" s="20">
        <f t="shared" si="9"/>
        <v>0.95583333333333254</v>
      </c>
      <c r="AG22" s="170"/>
    </row>
    <row r="23" spans="1:33" ht="15.75" customHeight="1">
      <c r="A23" s="193" t="s">
        <v>52</v>
      </c>
      <c r="B23" s="35" t="s">
        <v>78</v>
      </c>
      <c r="C23" s="190" t="s">
        <v>96</v>
      </c>
      <c r="D23" s="190"/>
      <c r="E23" s="35">
        <v>57.3</v>
      </c>
      <c r="F23" s="4">
        <v>1905</v>
      </c>
      <c r="G23" s="4">
        <f t="shared" si="19"/>
        <v>109156.5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1905.0000000000018</v>
      </c>
      <c r="N23" s="16">
        <f t="shared" si="3"/>
        <v>146.53846153846169</v>
      </c>
      <c r="O23" s="18">
        <f t="shared" si="4"/>
        <v>0</v>
      </c>
      <c r="P23" s="19">
        <f t="shared" si="5"/>
        <v>-7.3076923076921503</v>
      </c>
      <c r="Q23" s="20">
        <f t="shared" si="6"/>
        <v>0.95250000000000101</v>
      </c>
      <c r="R23" s="170"/>
      <c r="S23" s="27">
        <v>0.76250000000000007</v>
      </c>
      <c r="T23" s="27">
        <v>0.8041666666666667</v>
      </c>
      <c r="U23" s="4">
        <f t="shared" si="22"/>
        <v>5.9999999999999787</v>
      </c>
      <c r="V23" s="21">
        <f t="shared" si="21"/>
        <v>59.999999999999943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-94.999999999998181</v>
      </c>
      <c r="AF23" s="20">
        <f t="shared" si="9"/>
        <v>0.9525000000000009</v>
      </c>
      <c r="AG23" s="170"/>
    </row>
    <row r="24" spans="1:33" ht="15.75" customHeight="1">
      <c r="A24" s="193" t="s">
        <v>52</v>
      </c>
      <c r="B24" s="35" t="s">
        <v>78</v>
      </c>
      <c r="C24" s="190" t="s">
        <v>95</v>
      </c>
      <c r="D24" s="190"/>
      <c r="E24" s="35">
        <v>53.68</v>
      </c>
      <c r="F24" s="4">
        <v>500</v>
      </c>
      <c r="G24" s="4">
        <f t="shared" si="19"/>
        <v>26840</v>
      </c>
      <c r="H24" s="21">
        <v>2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1428.5714285714337</v>
      </c>
      <c r="N24" s="16">
        <f t="shared" si="3"/>
        <v>89.285714285714604</v>
      </c>
      <c r="O24" s="18">
        <f t="shared" si="4"/>
        <v>0</v>
      </c>
      <c r="P24" s="19">
        <f t="shared" si="5"/>
        <v>-4.4642857142853956</v>
      </c>
      <c r="Q24" s="20">
        <f t="shared" si="6"/>
        <v>0.95238095238095577</v>
      </c>
      <c r="R24" s="170"/>
      <c r="S24" s="27">
        <v>0.80902777777777779</v>
      </c>
      <c r="T24" s="27">
        <v>0.82361111111111107</v>
      </c>
      <c r="U24" s="4">
        <f t="shared" si="22"/>
        <v>6.9999999999999751</v>
      </c>
      <c r="V24" s="21">
        <f t="shared" si="21"/>
        <v>20.999999999999925</v>
      </c>
      <c r="W24" s="22">
        <f>T24</f>
        <v>0.82361111111111107</v>
      </c>
      <c r="X24" s="22">
        <f>S25</f>
        <v>0.86180555555555549</v>
      </c>
      <c r="Y24" s="4"/>
      <c r="Z24" s="4"/>
      <c r="AA24" s="162"/>
      <c r="AB24" s="162"/>
      <c r="AC24" s="24"/>
      <c r="AD24" s="24"/>
      <c r="AE24" s="18">
        <f t="shared" si="8"/>
        <v>-71.428571428566329</v>
      </c>
      <c r="AF24" s="20">
        <f t="shared" si="9"/>
        <v>0.95238095238095577</v>
      </c>
      <c r="AG24" s="170"/>
    </row>
    <row r="25" spans="1:33" ht="15.75" customHeight="1">
      <c r="A25" s="193" t="s">
        <v>52</v>
      </c>
      <c r="B25" s="35" t="s">
        <v>78</v>
      </c>
      <c r="C25" s="190" t="s">
        <v>95</v>
      </c>
      <c r="D25" s="190"/>
      <c r="E25" s="35">
        <v>53.68</v>
      </c>
      <c r="F25" s="4">
        <v>1334</v>
      </c>
      <c r="G25" s="4">
        <f t="shared" si="19"/>
        <v>71609.119999999995</v>
      </c>
      <c r="H25" s="21" t="s">
        <v>133</v>
      </c>
      <c r="I25" s="15">
        <v>16</v>
      </c>
      <c r="J25" s="17">
        <v>1500</v>
      </c>
      <c r="K25" s="16">
        <f t="shared" si="1"/>
        <v>93.75</v>
      </c>
      <c r="L25" s="15">
        <v>16</v>
      </c>
      <c r="M25" s="17">
        <f t="shared" si="20"/>
        <v>1429.2857142857154</v>
      </c>
      <c r="N25" s="16">
        <f t="shared" si="3"/>
        <v>89.33035714285721</v>
      </c>
      <c r="O25" s="18">
        <f t="shared" si="4"/>
        <v>0</v>
      </c>
      <c r="P25" s="19">
        <f t="shared" si="5"/>
        <v>-4.4196428571427901</v>
      </c>
      <c r="Q25" s="20">
        <f t="shared" si="6"/>
        <v>0.95285714285714362</v>
      </c>
      <c r="R25" s="170"/>
      <c r="S25" s="27">
        <v>0.86180555555555549</v>
      </c>
      <c r="T25" s="27">
        <v>0.90069444444444435</v>
      </c>
      <c r="U25" s="4">
        <f t="shared" si="22"/>
        <v>54.999999999999964</v>
      </c>
      <c r="V25" s="21">
        <f t="shared" si="21"/>
        <v>55.999999999999957</v>
      </c>
      <c r="W25" s="22"/>
      <c r="X25" s="27"/>
      <c r="Y25" s="27"/>
      <c r="Z25" s="27"/>
      <c r="AA25" s="162"/>
      <c r="AB25" s="162"/>
      <c r="AC25" s="24"/>
      <c r="AD25" s="24"/>
      <c r="AE25" s="18">
        <f t="shared" si="8"/>
        <v>-70.714285714284642</v>
      </c>
      <c r="AF25" s="20">
        <f t="shared" si="9"/>
        <v>0.95285714285714362</v>
      </c>
      <c r="AG25" s="170"/>
    </row>
    <row r="26" spans="1:33" ht="15.75" customHeight="1">
      <c r="A26" s="193" t="s">
        <v>52</v>
      </c>
      <c r="B26" s="35" t="s">
        <v>48</v>
      </c>
      <c r="C26" s="171"/>
      <c r="D26" s="171"/>
      <c r="E26" s="36"/>
      <c r="F26" s="4"/>
      <c r="G26" s="4"/>
      <c r="H26" s="4"/>
      <c r="I26" s="29">
        <v>15</v>
      </c>
      <c r="J26" s="17">
        <v>1833.3333333333333</v>
      </c>
      <c r="K26" s="16">
        <f t="shared" si="1"/>
        <v>122.22222222222221</v>
      </c>
      <c r="L26" s="29">
        <v>15</v>
      </c>
      <c r="M26" s="17">
        <f>AVERAGE(M20:M25)</f>
        <v>1753.1050848792795</v>
      </c>
      <c r="N26" s="16">
        <f t="shared" si="3"/>
        <v>116.8736723252853</v>
      </c>
      <c r="O26" s="18">
        <f t="shared" si="4"/>
        <v>0</v>
      </c>
      <c r="P26" s="19">
        <f t="shared" si="5"/>
        <v>-5.3485498969369161</v>
      </c>
      <c r="Q26" s="20">
        <f t="shared" si="6"/>
        <v>0.95623913720687981</v>
      </c>
      <c r="R26" s="170"/>
      <c r="S26" s="27"/>
      <c r="T26" s="27"/>
      <c r="U26" s="16"/>
      <c r="V26" s="21"/>
      <c r="W26" s="16"/>
      <c r="X26" s="16"/>
      <c r="Y26" s="30">
        <f>SUM(Y20:Y25)</f>
        <v>0</v>
      </c>
      <c r="Z26" s="30">
        <f>SUM(Z20:Z25)</f>
        <v>0</v>
      </c>
      <c r="AA26" s="166"/>
      <c r="AB26" s="166"/>
      <c r="AC26" s="30">
        <v>6</v>
      </c>
      <c r="AD26" s="30">
        <f>SUM(AD20:AD25)</f>
        <v>0</v>
      </c>
      <c r="AE26" s="18">
        <f t="shared" si="8"/>
        <v>-80.228248454053755</v>
      </c>
      <c r="AF26" s="20">
        <f t="shared" si="9"/>
        <v>0.95623913720687981</v>
      </c>
      <c r="AG26" s="170"/>
    </row>
    <row r="27" spans="1:33" ht="15.75" customHeight="1">
      <c r="A27" s="191" t="s">
        <v>54</v>
      </c>
      <c r="B27" s="35" t="s">
        <v>97</v>
      </c>
      <c r="C27" s="190" t="s">
        <v>98</v>
      </c>
      <c r="D27" s="190"/>
      <c r="E27" s="35">
        <v>31.29</v>
      </c>
      <c r="F27" s="4">
        <v>6000</v>
      </c>
      <c r="G27" s="4">
        <f t="shared" ref="G27:G34" si="23">E27*F27</f>
        <v>187740</v>
      </c>
      <c r="H27" s="21">
        <v>2</v>
      </c>
      <c r="I27" s="15">
        <v>18</v>
      </c>
      <c r="J27" s="17">
        <v>2400</v>
      </c>
      <c r="K27" s="16">
        <f t="shared" si="1"/>
        <v>133.33333333333334</v>
      </c>
      <c r="L27" s="15">
        <v>18</v>
      </c>
      <c r="M27" s="17">
        <f t="shared" ref="M27:M34" si="24">F27/V27*60</f>
        <v>2292.9936305732485</v>
      </c>
      <c r="N27" s="16">
        <f t="shared" si="3"/>
        <v>127.38853503184714</v>
      </c>
      <c r="O27" s="18">
        <f t="shared" si="4"/>
        <v>0</v>
      </c>
      <c r="P27" s="19">
        <f t="shared" si="5"/>
        <v>-5.9447983014862018</v>
      </c>
      <c r="Q27" s="20">
        <f t="shared" si="6"/>
        <v>0.95541401273885351</v>
      </c>
      <c r="R27" s="170">
        <f>Q35</f>
        <v>0.95436630361990726</v>
      </c>
      <c r="S27" s="27">
        <v>0.125</v>
      </c>
      <c r="T27" s="27">
        <v>0.23402777777777778</v>
      </c>
      <c r="U27" s="4"/>
      <c r="V27" s="21">
        <f t="shared" ref="V27:V34" si="25">(T27-S27)*24*60</f>
        <v>157</v>
      </c>
      <c r="W27" s="22">
        <f>T27</f>
        <v>0.23402777777777778</v>
      </c>
      <c r="X27" s="22">
        <f>S28</f>
        <v>0.25486111111111109</v>
      </c>
      <c r="Y27" s="22"/>
      <c r="Z27" s="22"/>
      <c r="AA27" s="162"/>
      <c r="AB27" s="162"/>
      <c r="AC27" s="24">
        <v>8</v>
      </c>
      <c r="AD27" s="24"/>
      <c r="AE27" s="18">
        <f t="shared" si="8"/>
        <v>-107.00636942675146</v>
      </c>
      <c r="AF27" s="20">
        <f t="shared" si="9"/>
        <v>0.95541401273885351</v>
      </c>
      <c r="AG27" s="170">
        <f>AF35</f>
        <v>0.95436630361990737</v>
      </c>
    </row>
    <row r="28" spans="1:33" ht="15.75" customHeight="1">
      <c r="A28" s="191" t="s">
        <v>54</v>
      </c>
      <c r="B28" s="35" t="s">
        <v>97</v>
      </c>
      <c r="C28" s="190" t="s">
        <v>99</v>
      </c>
      <c r="D28" s="190"/>
      <c r="E28" s="35">
        <v>25.98</v>
      </c>
      <c r="F28" s="4">
        <v>3239</v>
      </c>
      <c r="G28" s="4">
        <f t="shared" si="23"/>
        <v>84149.22</v>
      </c>
      <c r="H28" s="21" t="s">
        <v>133</v>
      </c>
      <c r="I28" s="15">
        <v>21</v>
      </c>
      <c r="J28" s="17">
        <v>2400</v>
      </c>
      <c r="K28" s="16">
        <f t="shared" si="1"/>
        <v>114.28571428571429</v>
      </c>
      <c r="L28" s="15">
        <v>21</v>
      </c>
      <c r="M28" s="17">
        <f t="shared" si="24"/>
        <v>2286.3529411764703</v>
      </c>
      <c r="N28" s="16">
        <f t="shared" si="3"/>
        <v>108.87394957983192</v>
      </c>
      <c r="O28" s="18">
        <f t="shared" si="4"/>
        <v>0</v>
      </c>
      <c r="P28" s="19">
        <f t="shared" si="5"/>
        <v>-5.4117647058823763</v>
      </c>
      <c r="Q28" s="20">
        <f t="shared" si="6"/>
        <v>0.95264705882352918</v>
      </c>
      <c r="R28" s="170"/>
      <c r="S28" s="27">
        <v>0.25486111111111109</v>
      </c>
      <c r="T28" s="27">
        <v>0.31388888888888888</v>
      </c>
      <c r="U28" s="4">
        <f t="shared" ref="U28:U34" si="26">(S28-T27)*24*60</f>
        <v>29.999999999999972</v>
      </c>
      <c r="V28" s="21">
        <f t="shared" si="25"/>
        <v>85.000000000000014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-113.64705882352973</v>
      </c>
      <c r="AF28" s="20">
        <f t="shared" si="9"/>
        <v>0.95264705882352929</v>
      </c>
      <c r="AG28" s="170"/>
    </row>
    <row r="29" spans="1:33" ht="15.75" customHeight="1">
      <c r="A29" s="191" t="s">
        <v>54</v>
      </c>
      <c r="B29" s="35" t="s">
        <v>97</v>
      </c>
      <c r="C29" s="190" t="s">
        <v>100</v>
      </c>
      <c r="D29" s="190"/>
      <c r="E29" s="35">
        <v>26.2</v>
      </c>
      <c r="F29" s="4">
        <v>3200</v>
      </c>
      <c r="G29" s="4">
        <f t="shared" si="23"/>
        <v>83840</v>
      </c>
      <c r="H29" s="21">
        <v>2</v>
      </c>
      <c r="I29" s="15">
        <v>20</v>
      </c>
      <c r="J29" s="17">
        <v>2400</v>
      </c>
      <c r="K29" s="16">
        <f t="shared" si="1"/>
        <v>120</v>
      </c>
      <c r="L29" s="15">
        <v>20</v>
      </c>
      <c r="M29" s="17">
        <f t="shared" si="24"/>
        <v>2285.7142857142849</v>
      </c>
      <c r="N29" s="16">
        <f t="shared" si="3"/>
        <v>114.28571428571425</v>
      </c>
      <c r="O29" s="18">
        <f t="shared" si="4"/>
        <v>0</v>
      </c>
      <c r="P29" s="19">
        <f t="shared" si="5"/>
        <v>-5.7142857142857508</v>
      </c>
      <c r="Q29" s="20">
        <f t="shared" si="6"/>
        <v>0.95238095238095211</v>
      </c>
      <c r="R29" s="170"/>
      <c r="S29" s="27">
        <v>0.31944444444444442</v>
      </c>
      <c r="T29" s="27">
        <v>0.37777777777777777</v>
      </c>
      <c r="U29" s="4">
        <f t="shared" si="26"/>
        <v>7.9999999999999716</v>
      </c>
      <c r="V29" s="21">
        <f t="shared" si="25"/>
        <v>84.000000000000028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-114.28571428571513</v>
      </c>
      <c r="AF29" s="20">
        <f t="shared" si="9"/>
        <v>0.952380952380952</v>
      </c>
      <c r="AG29" s="170"/>
    </row>
    <row r="30" spans="1:33" ht="15.75" customHeight="1">
      <c r="A30" s="191" t="s">
        <v>54</v>
      </c>
      <c r="B30" s="35" t="s">
        <v>97</v>
      </c>
      <c r="C30" s="190" t="s">
        <v>101</v>
      </c>
      <c r="D30" s="190"/>
      <c r="E30" s="35">
        <v>25.99</v>
      </c>
      <c r="F30" s="4">
        <v>2400</v>
      </c>
      <c r="G30" s="4">
        <f t="shared" si="23"/>
        <v>62375.999999999993</v>
      </c>
      <c r="H30" s="21">
        <v>2</v>
      </c>
      <c r="I30" s="15">
        <v>14</v>
      </c>
      <c r="J30" s="17">
        <v>2400</v>
      </c>
      <c r="K30" s="16">
        <f t="shared" si="1"/>
        <v>171.42857142857142</v>
      </c>
      <c r="L30" s="15">
        <v>14</v>
      </c>
      <c r="M30" s="17">
        <f t="shared" si="24"/>
        <v>2285.7142857142853</v>
      </c>
      <c r="N30" s="16">
        <f t="shared" si="3"/>
        <v>163.26530612244895</v>
      </c>
      <c r="O30" s="18">
        <f t="shared" si="4"/>
        <v>0</v>
      </c>
      <c r="P30" s="19">
        <f t="shared" si="5"/>
        <v>-8.1632653061224687</v>
      </c>
      <c r="Q30" s="20">
        <f t="shared" si="6"/>
        <v>0.95238095238095222</v>
      </c>
      <c r="R30" s="170"/>
      <c r="S30" s="27">
        <v>0.38194444444444442</v>
      </c>
      <c r="T30" s="27">
        <v>0.42569444444444443</v>
      </c>
      <c r="U30" s="4">
        <f t="shared" si="26"/>
        <v>5.9999999999999787</v>
      </c>
      <c r="V30" s="21">
        <f t="shared" si="25"/>
        <v>63.000000000000014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-114.28571428571468</v>
      </c>
      <c r="AF30" s="20">
        <f t="shared" si="9"/>
        <v>0.95238095238095222</v>
      </c>
      <c r="AG30" s="170"/>
    </row>
    <row r="31" spans="1:33" ht="15.75" customHeight="1">
      <c r="A31" s="191" t="s">
        <v>54</v>
      </c>
      <c r="B31" s="35" t="s">
        <v>97</v>
      </c>
      <c r="C31" s="190" t="s">
        <v>102</v>
      </c>
      <c r="D31" s="190"/>
      <c r="E31" s="35">
        <v>26.18</v>
      </c>
      <c r="F31" s="4">
        <v>1866</v>
      </c>
      <c r="G31" s="4">
        <f t="shared" si="23"/>
        <v>48851.88</v>
      </c>
      <c r="H31" s="21" t="s">
        <v>133</v>
      </c>
      <c r="I31" s="15">
        <v>19</v>
      </c>
      <c r="J31" s="17">
        <v>2400</v>
      </c>
      <c r="K31" s="16">
        <f t="shared" si="1"/>
        <v>126.31578947368421</v>
      </c>
      <c r="L31" s="15">
        <v>19</v>
      </c>
      <c r="M31" s="17">
        <f t="shared" si="24"/>
        <v>2284.8979591836742</v>
      </c>
      <c r="N31" s="16">
        <f t="shared" si="3"/>
        <v>120.25778732545653</v>
      </c>
      <c r="O31" s="18">
        <f t="shared" si="4"/>
        <v>0</v>
      </c>
      <c r="P31" s="19">
        <f t="shared" si="5"/>
        <v>-6.058002148227672</v>
      </c>
      <c r="Q31" s="20">
        <f t="shared" si="6"/>
        <v>0.95204081632653093</v>
      </c>
      <c r="R31" s="170"/>
      <c r="S31" s="27">
        <v>0.43055555555555552</v>
      </c>
      <c r="T31" s="27">
        <v>0.46458333333333329</v>
      </c>
      <c r="U31" s="4">
        <f t="shared" si="26"/>
        <v>6.9999999999999751</v>
      </c>
      <c r="V31" s="21">
        <f t="shared" si="25"/>
        <v>48.999999999999986</v>
      </c>
      <c r="W31" s="22">
        <f>T31</f>
        <v>0.46458333333333329</v>
      </c>
      <c r="X31" s="22">
        <f>S32</f>
        <v>0.50486111111111109</v>
      </c>
      <c r="Y31" s="22"/>
      <c r="Z31" s="22"/>
      <c r="AA31" s="162"/>
      <c r="AB31" s="162"/>
      <c r="AC31" s="24"/>
      <c r="AD31" s="24"/>
      <c r="AE31" s="18">
        <f t="shared" si="8"/>
        <v>-115.10204081632583</v>
      </c>
      <c r="AF31" s="20">
        <f t="shared" si="9"/>
        <v>0.95204081632653093</v>
      </c>
      <c r="AG31" s="170"/>
    </row>
    <row r="32" spans="1:33" ht="15.75" customHeight="1">
      <c r="A32" s="191" t="s">
        <v>54</v>
      </c>
      <c r="B32" s="35" t="s">
        <v>97</v>
      </c>
      <c r="C32" s="190" t="s">
        <v>98</v>
      </c>
      <c r="D32" s="190"/>
      <c r="E32" s="35">
        <v>31.29</v>
      </c>
      <c r="F32" s="4">
        <v>4117</v>
      </c>
      <c r="G32" s="4">
        <f t="shared" si="23"/>
        <v>128820.93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4"/>
        <v>2287.2222222222231</v>
      </c>
      <c r="N32" s="16">
        <f t="shared" si="3"/>
        <v>127.06790123456796</v>
      </c>
      <c r="O32" s="18">
        <f t="shared" si="4"/>
        <v>0</v>
      </c>
      <c r="P32" s="19">
        <f t="shared" si="5"/>
        <v>-6.2654320987653875</v>
      </c>
      <c r="Q32" s="20">
        <f t="shared" si="6"/>
        <v>0.95300925925925961</v>
      </c>
      <c r="R32" s="170"/>
      <c r="S32" s="27">
        <v>0.50486111111111109</v>
      </c>
      <c r="T32" s="27">
        <v>0.57986111111111105</v>
      </c>
      <c r="U32" s="4">
        <f t="shared" si="26"/>
        <v>58.000000000000036</v>
      </c>
      <c r="V32" s="21">
        <f t="shared" si="25"/>
        <v>107.99999999999994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-112.77777777777692</v>
      </c>
      <c r="AF32" s="20">
        <f t="shared" si="9"/>
        <v>0.95300925925925961</v>
      </c>
      <c r="AG32" s="170"/>
    </row>
    <row r="33" spans="1:33" ht="15.75" customHeight="1">
      <c r="A33" s="191" t="s">
        <v>54</v>
      </c>
      <c r="B33" s="35" t="s">
        <v>97</v>
      </c>
      <c r="C33" s="190" t="s">
        <v>100</v>
      </c>
      <c r="D33" s="190"/>
      <c r="E33" s="35">
        <v>26.2</v>
      </c>
      <c r="F33" s="4">
        <v>2334</v>
      </c>
      <c r="G33" s="4">
        <f t="shared" si="23"/>
        <v>61150.799999999996</v>
      </c>
      <c r="H33" s="21" t="s">
        <v>133</v>
      </c>
      <c r="I33" s="15">
        <v>20</v>
      </c>
      <c r="J33" s="17">
        <v>2400</v>
      </c>
      <c r="K33" s="16">
        <f t="shared" si="1"/>
        <v>120</v>
      </c>
      <c r="L33" s="15">
        <v>20</v>
      </c>
      <c r="M33" s="17">
        <f t="shared" si="24"/>
        <v>2295.7377049180345</v>
      </c>
      <c r="N33" s="16">
        <f t="shared" si="3"/>
        <v>114.78688524590173</v>
      </c>
      <c r="O33" s="18">
        <f t="shared" si="4"/>
        <v>0</v>
      </c>
      <c r="P33" s="19">
        <f t="shared" si="5"/>
        <v>-5.213114754098271</v>
      </c>
      <c r="Q33" s="20">
        <f t="shared" si="6"/>
        <v>0.95655737704918109</v>
      </c>
      <c r="R33" s="170"/>
      <c r="S33" s="27">
        <v>0.58472222222222214</v>
      </c>
      <c r="T33" s="27">
        <v>0.62708333333333321</v>
      </c>
      <c r="U33" s="4">
        <f t="shared" si="26"/>
        <v>6.9999999999999751</v>
      </c>
      <c r="V33" s="21">
        <f t="shared" si="25"/>
        <v>60.999999999999943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-104.26229508196548</v>
      </c>
      <c r="AF33" s="20">
        <f t="shared" si="9"/>
        <v>0.95655737704918109</v>
      </c>
      <c r="AG33" s="170"/>
    </row>
    <row r="34" spans="1:33" ht="15.75" customHeight="1">
      <c r="A34" s="191" t="s">
        <v>54</v>
      </c>
      <c r="B34" s="35" t="s">
        <v>97</v>
      </c>
      <c r="C34" s="190" t="s">
        <v>101</v>
      </c>
      <c r="D34" s="190"/>
      <c r="E34" s="35">
        <v>25.99</v>
      </c>
      <c r="F34" s="4">
        <v>1921</v>
      </c>
      <c r="G34" s="4">
        <f t="shared" si="23"/>
        <v>49926.789999999994</v>
      </c>
      <c r="H34" s="21" t="s">
        <v>133</v>
      </c>
      <c r="I34" s="15">
        <v>14</v>
      </c>
      <c r="J34" s="17">
        <v>2400</v>
      </c>
      <c r="K34" s="16">
        <f t="shared" si="1"/>
        <v>171.42857142857142</v>
      </c>
      <c r="L34" s="15">
        <v>14</v>
      </c>
      <c r="M34" s="17">
        <f t="shared" si="24"/>
        <v>2305.2000000000007</v>
      </c>
      <c r="N34" s="16">
        <f t="shared" si="3"/>
        <v>164.6571428571429</v>
      </c>
      <c r="O34" s="18">
        <f t="shared" si="4"/>
        <v>0</v>
      </c>
      <c r="P34" s="19">
        <f t="shared" si="5"/>
        <v>-6.7714285714285154</v>
      </c>
      <c r="Q34" s="20">
        <f t="shared" si="6"/>
        <v>0.96050000000000035</v>
      </c>
      <c r="R34" s="170"/>
      <c r="S34" s="27">
        <v>0.63263888888888875</v>
      </c>
      <c r="T34" s="27">
        <v>0.66736111111111096</v>
      </c>
      <c r="U34" s="4">
        <f t="shared" si="26"/>
        <v>7.9999999999999716</v>
      </c>
      <c r="V34" s="21">
        <f t="shared" si="25"/>
        <v>49.999999999999986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-94.799999999999272</v>
      </c>
      <c r="AF34" s="20">
        <f t="shared" si="9"/>
        <v>0.96050000000000035</v>
      </c>
      <c r="AG34" s="170"/>
    </row>
    <row r="35" spans="1:33" ht="15.75" customHeight="1">
      <c r="A35" s="191" t="s">
        <v>54</v>
      </c>
      <c r="B35" s="35" t="s">
        <v>48</v>
      </c>
      <c r="C35" s="171"/>
      <c r="D35" s="171"/>
      <c r="E35" s="36"/>
      <c r="F35" s="4"/>
      <c r="G35" s="4"/>
      <c r="H35" s="4"/>
      <c r="I35" s="29">
        <v>18</v>
      </c>
      <c r="J35" s="17">
        <v>2400</v>
      </c>
      <c r="K35" s="16">
        <f t="shared" si="1"/>
        <v>133.33333333333334</v>
      </c>
      <c r="L35" s="29">
        <v>18</v>
      </c>
      <c r="M35" s="17">
        <f>AVERAGE(M27:M34)</f>
        <v>2290.4791286877776</v>
      </c>
      <c r="N35" s="16">
        <f t="shared" si="3"/>
        <v>127.24884048265432</v>
      </c>
      <c r="O35" s="18">
        <f t="shared" si="4"/>
        <v>0</v>
      </c>
      <c r="P35" s="19">
        <f t="shared" si="5"/>
        <v>-6.0844928506790268</v>
      </c>
      <c r="Q35" s="20">
        <f t="shared" si="6"/>
        <v>0.95436630361990726</v>
      </c>
      <c r="R35" s="170"/>
      <c r="S35" s="27"/>
      <c r="T35" s="27"/>
      <c r="U35" s="4"/>
      <c r="V35" s="21"/>
      <c r="W35" s="4"/>
      <c r="X35" s="4"/>
      <c r="Y35" s="30">
        <f>SUM(Y27:Y34)</f>
        <v>0</v>
      </c>
      <c r="Z35" s="30">
        <f>SUM(Z27:Z34)</f>
        <v>0</v>
      </c>
      <c r="AA35" s="166"/>
      <c r="AB35" s="166"/>
      <c r="AC35" s="30">
        <v>8</v>
      </c>
      <c r="AD35" s="30">
        <f>SUM(AD27:AD34)</f>
        <v>0</v>
      </c>
      <c r="AE35" s="18">
        <f t="shared" si="8"/>
        <v>-109.52087131222243</v>
      </c>
      <c r="AF35" s="20">
        <f t="shared" si="9"/>
        <v>0.95436630361990737</v>
      </c>
      <c r="AG35" s="170"/>
    </row>
    <row r="36" spans="1:33" ht="15.75" customHeight="1">
      <c r="A36" s="188" t="s">
        <v>60</v>
      </c>
      <c r="B36" s="35" t="s">
        <v>97</v>
      </c>
      <c r="C36" s="163" t="s">
        <v>103</v>
      </c>
      <c r="D36" s="163"/>
      <c r="E36" s="35">
        <v>26.2</v>
      </c>
      <c r="F36" s="4">
        <v>4200</v>
      </c>
      <c r="G36" s="4">
        <f t="shared" ref="G36:G43" si="27">E36*F36</f>
        <v>110040</v>
      </c>
      <c r="H36" s="21">
        <v>2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ref="M36:M43" si="28">F36/V36*60</f>
        <v>2290.909090909091</v>
      </c>
      <c r="N36" s="16">
        <f t="shared" si="3"/>
        <v>127.27272727272728</v>
      </c>
      <c r="O36" s="18">
        <f t="shared" si="4"/>
        <v>0</v>
      </c>
      <c r="P36" s="19">
        <f t="shared" si="5"/>
        <v>-6.0606060606060623</v>
      </c>
      <c r="Q36" s="20">
        <f t="shared" si="6"/>
        <v>0.95454545454545459</v>
      </c>
      <c r="R36" s="170">
        <f>Q44</f>
        <v>0.95700384946600514</v>
      </c>
      <c r="S36" s="27">
        <v>0.125</v>
      </c>
      <c r="T36" s="27">
        <v>0.2013888888888889</v>
      </c>
      <c r="U36" s="4"/>
      <c r="V36" s="21">
        <f t="shared" ref="V36:V43" si="29">(T36-S36)*24*60</f>
        <v>110.00000000000001</v>
      </c>
      <c r="W36" s="27">
        <f>T36</f>
        <v>0.2013888888888889</v>
      </c>
      <c r="X36" s="27">
        <f>S37</f>
        <v>0.22013888888888888</v>
      </c>
      <c r="Y36" s="27"/>
      <c r="Z36" s="27"/>
      <c r="AA36" s="162"/>
      <c r="AB36" s="162"/>
      <c r="AC36" s="24">
        <v>8</v>
      </c>
      <c r="AD36" s="24"/>
      <c r="AE36" s="18">
        <f t="shared" si="8"/>
        <v>-109.09090909090901</v>
      </c>
      <c r="AF36" s="20">
        <f t="shared" si="9"/>
        <v>0.95454545454545459</v>
      </c>
      <c r="AG36" s="170">
        <f>AF44</f>
        <v>0.95700384946600503</v>
      </c>
    </row>
    <row r="37" spans="1:33" ht="15.75" customHeight="1">
      <c r="A37" s="188" t="s">
        <v>60</v>
      </c>
      <c r="B37" s="35" t="s">
        <v>97</v>
      </c>
      <c r="C37" s="163" t="s">
        <v>104</v>
      </c>
      <c r="D37" s="163"/>
      <c r="E37" s="35">
        <v>20.52</v>
      </c>
      <c r="F37" s="4">
        <v>4166</v>
      </c>
      <c r="G37" s="4">
        <f t="shared" si="27"/>
        <v>85486.319999999992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2293.2110091743116</v>
      </c>
      <c r="N37" s="16">
        <f t="shared" si="3"/>
        <v>127.40061162079509</v>
      </c>
      <c r="O37" s="18">
        <f t="shared" si="4"/>
        <v>0</v>
      </c>
      <c r="P37" s="19">
        <f t="shared" si="5"/>
        <v>-5.9327217125382532</v>
      </c>
      <c r="Q37" s="20">
        <f t="shared" si="6"/>
        <v>0.95550458715596309</v>
      </c>
      <c r="R37" s="170"/>
      <c r="S37" s="27">
        <v>0.22013888888888888</v>
      </c>
      <c r="T37" s="27">
        <v>0.29583333333333334</v>
      </c>
      <c r="U37" s="4">
        <f t="shared" ref="U37:U43" si="30">(S37-T36)*24*60</f>
        <v>26.999999999999986</v>
      </c>
      <c r="V37" s="21">
        <f t="shared" si="29"/>
        <v>109.00000000000001</v>
      </c>
      <c r="W37" s="4"/>
      <c r="X37" s="4"/>
      <c r="Y37" s="4"/>
      <c r="Z37" s="4"/>
      <c r="AA37" s="162"/>
      <c r="AB37" s="162"/>
      <c r="AC37" s="24"/>
      <c r="AD37" s="24"/>
      <c r="AE37" s="18">
        <f t="shared" si="8"/>
        <v>-106.78899082568842</v>
      </c>
      <c r="AF37" s="20">
        <f t="shared" si="9"/>
        <v>0.9555045871559632</v>
      </c>
      <c r="AG37" s="170"/>
    </row>
    <row r="38" spans="1:33">
      <c r="A38" s="189" t="s">
        <v>60</v>
      </c>
      <c r="B38" s="35" t="s">
        <v>97</v>
      </c>
      <c r="C38" s="163" t="s">
        <v>105</v>
      </c>
      <c r="D38" s="163"/>
      <c r="E38" s="35">
        <v>26.39</v>
      </c>
      <c r="F38" s="4">
        <v>3700</v>
      </c>
      <c r="G38" s="4">
        <f t="shared" si="27"/>
        <v>97643</v>
      </c>
      <c r="H38" s="21">
        <v>2</v>
      </c>
      <c r="I38" s="15">
        <v>19</v>
      </c>
      <c r="J38" s="17">
        <v>2400</v>
      </c>
      <c r="K38" s="16">
        <f t="shared" si="1"/>
        <v>126.31578947368421</v>
      </c>
      <c r="L38" s="15">
        <v>19</v>
      </c>
      <c r="M38" s="17">
        <f t="shared" si="28"/>
        <v>2288.6597938144337</v>
      </c>
      <c r="N38" s="16">
        <f t="shared" si="3"/>
        <v>120.4557786218123</v>
      </c>
      <c r="O38" s="18">
        <f t="shared" si="4"/>
        <v>0</v>
      </c>
      <c r="P38" s="19">
        <f t="shared" si="5"/>
        <v>-5.8600108518719054</v>
      </c>
      <c r="Q38" s="20">
        <f t="shared" si="6"/>
        <v>0.9536082474226808</v>
      </c>
      <c r="R38" s="170"/>
      <c r="S38" s="27">
        <v>0.30069444444444443</v>
      </c>
      <c r="T38" s="27">
        <v>0.36805555555555552</v>
      </c>
      <c r="U38" s="4">
        <f t="shared" si="30"/>
        <v>6.9999999999999751</v>
      </c>
      <c r="V38" s="21">
        <f t="shared" si="29"/>
        <v>96.999999999999972</v>
      </c>
      <c r="W38" s="4"/>
      <c r="X38" s="4"/>
      <c r="Y38" s="4"/>
      <c r="Z38" s="4"/>
      <c r="AA38" s="162"/>
      <c r="AB38" s="162"/>
      <c r="AC38" s="24"/>
      <c r="AD38" s="24"/>
      <c r="AE38" s="18">
        <f t="shared" si="8"/>
        <v>-111.34020618556633</v>
      </c>
      <c r="AF38" s="20">
        <f t="shared" si="9"/>
        <v>0.95360824742268069</v>
      </c>
      <c r="AG38" s="170"/>
    </row>
    <row r="39" spans="1:33">
      <c r="A39" s="189" t="s">
        <v>60</v>
      </c>
      <c r="B39" s="35" t="s">
        <v>97</v>
      </c>
      <c r="C39" s="163" t="s">
        <v>107</v>
      </c>
      <c r="D39" s="163"/>
      <c r="E39" s="35">
        <v>20.52</v>
      </c>
      <c r="F39" s="4">
        <v>2995</v>
      </c>
      <c r="G39" s="4">
        <f t="shared" si="27"/>
        <v>61457.4</v>
      </c>
      <c r="H39" s="21" t="s">
        <v>133</v>
      </c>
      <c r="I39" s="15">
        <v>18</v>
      </c>
      <c r="J39" s="17">
        <v>2400</v>
      </c>
      <c r="K39" s="16">
        <f t="shared" si="1"/>
        <v>133.33333333333334</v>
      </c>
      <c r="L39" s="15">
        <v>18</v>
      </c>
      <c r="M39" s="17">
        <f t="shared" si="28"/>
        <v>2303.8461538461552</v>
      </c>
      <c r="N39" s="16">
        <f t="shared" si="3"/>
        <v>127.99145299145306</v>
      </c>
      <c r="O39" s="18">
        <f t="shared" si="4"/>
        <v>0</v>
      </c>
      <c r="P39" s="19">
        <f t="shared" si="5"/>
        <v>-5.3418803418802838</v>
      </c>
      <c r="Q39" s="20">
        <f t="shared" si="6"/>
        <v>0.95993589743589791</v>
      </c>
      <c r="R39" s="170"/>
      <c r="S39" s="27">
        <v>0.37291666666666662</v>
      </c>
      <c r="T39" s="27">
        <v>0.42708333333333326</v>
      </c>
      <c r="U39" s="4">
        <f t="shared" si="30"/>
        <v>6.9999999999999751</v>
      </c>
      <c r="V39" s="21">
        <f t="shared" si="29"/>
        <v>77.999999999999957</v>
      </c>
      <c r="W39" s="22"/>
      <c r="X39" s="22"/>
      <c r="Y39" s="22"/>
      <c r="Z39" s="22"/>
      <c r="AA39" s="162"/>
      <c r="AB39" s="162"/>
      <c r="AC39" s="24"/>
      <c r="AD39" s="24"/>
      <c r="AE39" s="18">
        <f t="shared" si="8"/>
        <v>-96.153846153844825</v>
      </c>
      <c r="AF39" s="20">
        <f t="shared" si="9"/>
        <v>0.95993589743589802</v>
      </c>
      <c r="AG39" s="170"/>
    </row>
    <row r="40" spans="1:33">
      <c r="A40" s="189" t="s">
        <v>60</v>
      </c>
      <c r="B40" s="35" t="s">
        <v>97</v>
      </c>
      <c r="C40" s="163" t="s">
        <v>304</v>
      </c>
      <c r="D40" s="163"/>
      <c r="E40" s="35">
        <v>22.69</v>
      </c>
      <c r="F40" s="4">
        <v>3000</v>
      </c>
      <c r="G40" s="4">
        <f t="shared" si="27"/>
        <v>68070</v>
      </c>
      <c r="H40" s="21">
        <v>2</v>
      </c>
      <c r="I40" s="15">
        <v>15</v>
      </c>
      <c r="J40" s="17">
        <v>2400</v>
      </c>
      <c r="K40" s="16">
        <f t="shared" si="1"/>
        <v>160</v>
      </c>
      <c r="L40" s="15">
        <v>15</v>
      </c>
      <c r="M40" s="17">
        <f t="shared" si="28"/>
        <v>2307.6923076923063</v>
      </c>
      <c r="N40" s="16">
        <f t="shared" si="3"/>
        <v>153.84615384615375</v>
      </c>
      <c r="O40" s="18">
        <f t="shared" si="4"/>
        <v>0</v>
      </c>
      <c r="P40" s="19">
        <f t="shared" si="5"/>
        <v>-6.1538461538462457</v>
      </c>
      <c r="Q40" s="20">
        <f t="shared" si="6"/>
        <v>0.96153846153846101</v>
      </c>
      <c r="R40" s="170"/>
      <c r="S40" s="27">
        <v>0.43194444444444435</v>
      </c>
      <c r="T40" s="27">
        <v>0.48611111111111105</v>
      </c>
      <c r="U40" s="4">
        <f t="shared" si="30"/>
        <v>6.9999999999999751</v>
      </c>
      <c r="V40" s="21">
        <f t="shared" si="29"/>
        <v>78.000000000000043</v>
      </c>
      <c r="W40" s="22">
        <f>T40</f>
        <v>0.48611111111111105</v>
      </c>
      <c r="X40" s="22">
        <f>S41</f>
        <v>0.52777777777777768</v>
      </c>
      <c r="Y40" s="22"/>
      <c r="Z40" s="22"/>
      <c r="AA40" s="162"/>
      <c r="AB40" s="162"/>
      <c r="AC40" s="24"/>
      <c r="AD40" s="24"/>
      <c r="AE40" s="18">
        <f t="shared" si="8"/>
        <v>-92.307692307693742</v>
      </c>
      <c r="AF40" s="20">
        <f t="shared" si="9"/>
        <v>0.9615384615384609</v>
      </c>
      <c r="AG40" s="170"/>
    </row>
    <row r="41" spans="1:33">
      <c r="A41" s="189" t="s">
        <v>60</v>
      </c>
      <c r="B41" s="35" t="s">
        <v>97</v>
      </c>
      <c r="C41" s="163" t="s">
        <v>304</v>
      </c>
      <c r="D41" s="163"/>
      <c r="E41" s="35">
        <v>22.69</v>
      </c>
      <c r="F41" s="4">
        <v>3966</v>
      </c>
      <c r="G41" s="4">
        <f t="shared" si="27"/>
        <v>89988.540000000008</v>
      </c>
      <c r="H41" s="21" t="s">
        <v>133</v>
      </c>
      <c r="I41" s="15">
        <v>15</v>
      </c>
      <c r="J41" s="17">
        <v>2400</v>
      </c>
      <c r="K41" s="16">
        <f t="shared" si="1"/>
        <v>160</v>
      </c>
      <c r="L41" s="15">
        <v>15</v>
      </c>
      <c r="M41" s="17">
        <f t="shared" si="28"/>
        <v>2288.0769230769247</v>
      </c>
      <c r="N41" s="16">
        <f t="shared" si="3"/>
        <v>152.53846153846163</v>
      </c>
      <c r="O41" s="18">
        <f t="shared" si="4"/>
        <v>0</v>
      </c>
      <c r="P41" s="19">
        <f t="shared" si="5"/>
        <v>-7.4615384615383675</v>
      </c>
      <c r="Q41" s="20">
        <f t="shared" si="6"/>
        <v>0.95336538461538523</v>
      </c>
      <c r="R41" s="170"/>
      <c r="S41" s="27">
        <v>0.52777777777777768</v>
      </c>
      <c r="T41" s="27">
        <v>0.59999999999999987</v>
      </c>
      <c r="U41" s="4">
        <f t="shared" si="30"/>
        <v>59.999999999999943</v>
      </c>
      <c r="V41" s="21">
        <f t="shared" si="29"/>
        <v>103.99999999999994</v>
      </c>
      <c r="W41" s="22"/>
      <c r="X41" s="22"/>
      <c r="Y41" s="22"/>
      <c r="Z41" s="22"/>
      <c r="AA41" s="162"/>
      <c r="AB41" s="162"/>
      <c r="AC41" s="24"/>
      <c r="AD41" s="24"/>
      <c r="AE41" s="18">
        <f t="shared" si="8"/>
        <v>-111.92307692307531</v>
      </c>
      <c r="AF41" s="20">
        <f t="shared" si="9"/>
        <v>0.95336538461538534</v>
      </c>
      <c r="AG41" s="170"/>
    </row>
    <row r="42" spans="1:33">
      <c r="A42" s="189" t="s">
        <v>60</v>
      </c>
      <c r="B42" s="35" t="s">
        <v>97</v>
      </c>
      <c r="C42" s="163" t="s">
        <v>105</v>
      </c>
      <c r="D42" s="163"/>
      <c r="E42" s="35">
        <v>26.39</v>
      </c>
      <c r="F42" s="4">
        <v>2584</v>
      </c>
      <c r="G42" s="4">
        <f t="shared" si="27"/>
        <v>68191.759999999995</v>
      </c>
      <c r="H42" s="21" t="s">
        <v>133</v>
      </c>
      <c r="I42" s="15">
        <v>19</v>
      </c>
      <c r="J42" s="17">
        <v>2400</v>
      </c>
      <c r="K42" s="16">
        <f t="shared" si="1"/>
        <v>126.31578947368421</v>
      </c>
      <c r="L42" s="15">
        <v>19</v>
      </c>
      <c r="M42" s="17">
        <f t="shared" si="28"/>
        <v>2314.0298507462712</v>
      </c>
      <c r="N42" s="16">
        <f t="shared" si="3"/>
        <v>121.79104477611953</v>
      </c>
      <c r="O42" s="18">
        <f t="shared" si="4"/>
        <v>0</v>
      </c>
      <c r="P42" s="19">
        <f t="shared" si="5"/>
        <v>-4.524744697564671</v>
      </c>
      <c r="Q42" s="20">
        <f t="shared" si="6"/>
        <v>0.96417910447761301</v>
      </c>
      <c r="R42" s="170"/>
      <c r="S42" s="27">
        <v>0.60416666666666652</v>
      </c>
      <c r="T42" s="27">
        <v>0.65069444444444424</v>
      </c>
      <c r="U42" s="4">
        <f t="shared" si="30"/>
        <v>5.9999999999999787</v>
      </c>
      <c r="V42" s="21">
        <f t="shared" si="29"/>
        <v>66.999999999999915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-85.970149253728778</v>
      </c>
      <c r="AF42" s="20">
        <f t="shared" si="9"/>
        <v>0.96417910447761301</v>
      </c>
      <c r="AG42" s="170"/>
    </row>
    <row r="43" spans="1:33">
      <c r="A43" s="189" t="s">
        <v>60</v>
      </c>
      <c r="B43" s="35" t="s">
        <v>97</v>
      </c>
      <c r="C43" s="163" t="s">
        <v>103</v>
      </c>
      <c r="D43" s="163"/>
      <c r="E43" s="35">
        <v>26.2</v>
      </c>
      <c r="F43" s="4">
        <v>3127</v>
      </c>
      <c r="G43" s="4">
        <f t="shared" si="27"/>
        <v>81927.399999999994</v>
      </c>
      <c r="H43" s="21" t="s">
        <v>133</v>
      </c>
      <c r="I43" s="15">
        <v>18</v>
      </c>
      <c r="J43" s="17">
        <v>2400</v>
      </c>
      <c r="K43" s="16">
        <f t="shared" si="1"/>
        <v>133.33333333333334</v>
      </c>
      <c r="L43" s="15">
        <v>18</v>
      </c>
      <c r="M43" s="17">
        <f t="shared" si="28"/>
        <v>2288.0487804878039</v>
      </c>
      <c r="N43" s="16">
        <f t="shared" si="3"/>
        <v>127.11382113821134</v>
      </c>
      <c r="O43" s="18">
        <f t="shared" si="4"/>
        <v>0</v>
      </c>
      <c r="P43" s="19">
        <f t="shared" si="5"/>
        <v>-6.2195121951220074</v>
      </c>
      <c r="Q43" s="20">
        <f t="shared" si="6"/>
        <v>0.95335365853658494</v>
      </c>
      <c r="R43" s="170"/>
      <c r="S43" s="27">
        <v>0.65486111111111089</v>
      </c>
      <c r="T43" s="27">
        <v>0.71180555555555536</v>
      </c>
      <c r="U43" s="4">
        <f t="shared" si="30"/>
        <v>5.9999999999999787</v>
      </c>
      <c r="V43" s="21">
        <f t="shared" si="29"/>
        <v>82.000000000000028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-111.95121951219608</v>
      </c>
      <c r="AF43" s="20">
        <f t="shared" si="9"/>
        <v>0.95335365853658494</v>
      </c>
      <c r="AG43" s="170"/>
    </row>
    <row r="44" spans="1:33">
      <c r="A44" s="189" t="s">
        <v>60</v>
      </c>
      <c r="B44" s="16" t="s">
        <v>48</v>
      </c>
      <c r="C44" s="171"/>
      <c r="D44" s="171"/>
      <c r="E44" s="36"/>
      <c r="F44" s="16"/>
      <c r="G44" s="16"/>
      <c r="H44" s="4"/>
      <c r="I44" s="29">
        <v>17.5</v>
      </c>
      <c r="J44" s="17">
        <v>2400</v>
      </c>
      <c r="K44" s="16">
        <f t="shared" si="1"/>
        <v>137.14285714285714</v>
      </c>
      <c r="L44" s="29">
        <v>17.5</v>
      </c>
      <c r="M44" s="17">
        <f>AVERAGE(M36:M43)</f>
        <v>2296.809238718412</v>
      </c>
      <c r="N44" s="16">
        <f t="shared" si="3"/>
        <v>131.24624221248069</v>
      </c>
      <c r="O44" s="18">
        <f t="shared" si="4"/>
        <v>0</v>
      </c>
      <c r="P44" s="19">
        <f t="shared" si="5"/>
        <v>-5.8966149303764439</v>
      </c>
      <c r="Q44" s="20">
        <f t="shared" si="6"/>
        <v>0.95700384946600514</v>
      </c>
      <c r="R44" s="170"/>
      <c r="S44" s="27"/>
      <c r="T44" s="27"/>
      <c r="U44" s="16"/>
      <c r="V44" s="21"/>
      <c r="W44" s="16"/>
      <c r="X44" s="16"/>
      <c r="Y44" s="30">
        <f>SUM(Y36:Y43)</f>
        <v>0</v>
      </c>
      <c r="Z44" s="30">
        <f>SUM(Z36:Z43)</f>
        <v>0</v>
      </c>
      <c r="AA44" s="166"/>
      <c r="AB44" s="166"/>
      <c r="AC44" s="30">
        <v>8</v>
      </c>
      <c r="AD44" s="30">
        <f>SUM(AD36:AD43)</f>
        <v>0</v>
      </c>
      <c r="AE44" s="18">
        <f t="shared" si="8"/>
        <v>-103.19076128158804</v>
      </c>
      <c r="AF44" s="20">
        <f t="shared" si="9"/>
        <v>0.95700384946600503</v>
      </c>
      <c r="AG44" s="170"/>
    </row>
    <row r="45" spans="1:33" ht="15.75" customHeight="1">
      <c r="A45" s="182" t="s">
        <v>66</v>
      </c>
      <c r="B45" s="35" t="s">
        <v>108</v>
      </c>
      <c r="C45" s="174" t="s">
        <v>109</v>
      </c>
      <c r="D45" s="175"/>
      <c r="E45" s="35">
        <v>34.36</v>
      </c>
      <c r="F45" s="4">
        <v>2524</v>
      </c>
      <c r="G45" s="4">
        <f t="shared" ref="G45:G53" si="31">E45*F45</f>
        <v>86724.64</v>
      </c>
      <c r="H45" s="21" t="s">
        <v>133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ref="M45:M53" si="32">F45/V45*60</f>
        <v>2857.3584905660368</v>
      </c>
      <c r="N45" s="17">
        <f t="shared" si="3"/>
        <v>285.73584905660368</v>
      </c>
      <c r="O45" s="18">
        <f t="shared" si="4"/>
        <v>0</v>
      </c>
      <c r="P45" s="19">
        <f t="shared" si="5"/>
        <v>-14.264150943396317</v>
      </c>
      <c r="Q45" s="20">
        <f t="shared" si="6"/>
        <v>0.95245283018867899</v>
      </c>
      <c r="R45" s="185">
        <f>Q54</f>
        <v>0.95847569849017134</v>
      </c>
      <c r="S45" s="27">
        <v>0.20833333333333334</v>
      </c>
      <c r="T45" s="27">
        <v>0.24513888888888891</v>
      </c>
      <c r="U45" s="27"/>
      <c r="V45" s="21">
        <f t="shared" ref="V45:V53" si="33">(T45-S45)*24*60</f>
        <v>53.000000000000014</v>
      </c>
      <c r="W45" s="22"/>
      <c r="X45" s="22"/>
      <c r="Y45" s="25"/>
      <c r="Z45" s="25"/>
      <c r="AA45" s="176"/>
      <c r="AB45" s="177"/>
      <c r="AC45" s="24">
        <v>9</v>
      </c>
      <c r="AD45" s="24"/>
      <c r="AE45" s="18">
        <f t="shared" si="8"/>
        <v>-142.64150943396317</v>
      </c>
      <c r="AF45" s="20">
        <f t="shared" si="9"/>
        <v>0.95245283018867899</v>
      </c>
      <c r="AG45" s="185">
        <f>AF54</f>
        <v>0.95847569849017134</v>
      </c>
    </row>
    <row r="46" spans="1:33" ht="15.75" customHeight="1">
      <c r="A46" s="183" t="s">
        <v>66</v>
      </c>
      <c r="B46" s="35" t="s">
        <v>108</v>
      </c>
      <c r="C46" s="174" t="s">
        <v>110</v>
      </c>
      <c r="D46" s="175"/>
      <c r="E46" s="35">
        <v>26.78</v>
      </c>
      <c r="F46" s="4">
        <v>3114</v>
      </c>
      <c r="G46" s="4">
        <f t="shared" si="31"/>
        <v>83392.92</v>
      </c>
      <c r="H46" s="21" t="s">
        <v>133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2874.4615384615377</v>
      </c>
      <c r="N46" s="17">
        <f t="shared" si="3"/>
        <v>287.44615384615378</v>
      </c>
      <c r="O46" s="18">
        <f t="shared" si="4"/>
        <v>0</v>
      </c>
      <c r="P46" s="19">
        <f t="shared" si="5"/>
        <v>-12.553846153846223</v>
      </c>
      <c r="Q46" s="20">
        <f t="shared" si="6"/>
        <v>0.95815384615384591</v>
      </c>
      <c r="R46" s="186"/>
      <c r="S46" s="27">
        <v>0.25069444444444444</v>
      </c>
      <c r="T46" s="27">
        <v>0.29583333333333334</v>
      </c>
      <c r="U46" s="4">
        <f t="shared" ref="U46:U53" si="34">(S46-T45)*24*60</f>
        <v>7.9999999999999716</v>
      </c>
      <c r="V46" s="21">
        <f t="shared" si="33"/>
        <v>65.000000000000014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-125.53846153846234</v>
      </c>
      <c r="AF46" s="20">
        <f t="shared" si="9"/>
        <v>0.95815384615384591</v>
      </c>
      <c r="AG46" s="186"/>
    </row>
    <row r="47" spans="1:33" ht="15.75" customHeight="1">
      <c r="A47" s="183" t="s">
        <v>66</v>
      </c>
      <c r="B47" s="35" t="s">
        <v>108</v>
      </c>
      <c r="C47" s="174" t="s">
        <v>111</v>
      </c>
      <c r="D47" s="175"/>
      <c r="E47" s="35">
        <v>21.13</v>
      </c>
      <c r="F47" s="4">
        <v>2500</v>
      </c>
      <c r="G47" s="4">
        <f t="shared" si="31"/>
        <v>52825</v>
      </c>
      <c r="H47" s="21">
        <v>2</v>
      </c>
      <c r="I47" s="15">
        <v>10</v>
      </c>
      <c r="J47" s="17">
        <v>3000</v>
      </c>
      <c r="K47" s="16">
        <f t="shared" si="1"/>
        <v>300</v>
      </c>
      <c r="L47" s="15">
        <v>10</v>
      </c>
      <c r="M47" s="17">
        <f t="shared" si="32"/>
        <v>2884.6153846153861</v>
      </c>
      <c r="N47" s="17">
        <f t="shared" si="3"/>
        <v>288.46153846153862</v>
      </c>
      <c r="O47" s="18">
        <f t="shared" si="4"/>
        <v>0</v>
      </c>
      <c r="P47" s="19">
        <f t="shared" si="5"/>
        <v>-11.538461538461377</v>
      </c>
      <c r="Q47" s="20">
        <f t="shared" si="6"/>
        <v>0.96153846153846212</v>
      </c>
      <c r="R47" s="186"/>
      <c r="S47" s="27">
        <v>0.3</v>
      </c>
      <c r="T47" s="27">
        <v>0.33611111111111108</v>
      </c>
      <c r="U47" s="4">
        <f t="shared" si="34"/>
        <v>5.9999999999999787</v>
      </c>
      <c r="V47" s="21">
        <f t="shared" si="33"/>
        <v>51.999999999999972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-115.38461538461388</v>
      </c>
      <c r="AF47" s="20">
        <f t="shared" si="9"/>
        <v>0.96153846153846201</v>
      </c>
      <c r="AG47" s="186"/>
    </row>
    <row r="48" spans="1:33" ht="15.75" customHeight="1">
      <c r="A48" s="183" t="s">
        <v>66</v>
      </c>
      <c r="B48" s="35" t="s">
        <v>108</v>
      </c>
      <c r="C48" s="174" t="s">
        <v>112</v>
      </c>
      <c r="D48" s="175"/>
      <c r="E48" s="35">
        <v>27.17</v>
      </c>
      <c r="F48" s="4">
        <v>4700</v>
      </c>
      <c r="G48" s="4">
        <f t="shared" si="31"/>
        <v>127699.00000000001</v>
      </c>
      <c r="H48" s="21">
        <v>2</v>
      </c>
      <c r="I48" s="15">
        <v>10</v>
      </c>
      <c r="J48" s="17">
        <v>3000</v>
      </c>
      <c r="K48" s="16">
        <f t="shared" si="1"/>
        <v>300</v>
      </c>
      <c r="L48" s="15">
        <v>10</v>
      </c>
      <c r="M48" s="17">
        <f t="shared" si="32"/>
        <v>2877.5510204081643</v>
      </c>
      <c r="N48" s="17">
        <f t="shared" si="3"/>
        <v>287.75510204081644</v>
      </c>
      <c r="O48" s="18">
        <f t="shared" si="4"/>
        <v>0</v>
      </c>
      <c r="P48" s="19">
        <f t="shared" si="5"/>
        <v>-12.244897959183561</v>
      </c>
      <c r="Q48" s="20">
        <f t="shared" si="6"/>
        <v>0.95918367346938815</v>
      </c>
      <c r="R48" s="186"/>
      <c r="S48" s="27">
        <v>0.34027777777777773</v>
      </c>
      <c r="T48" s="27">
        <v>0.40833333333333327</v>
      </c>
      <c r="U48" s="4">
        <f t="shared" si="34"/>
        <v>5.9999999999999787</v>
      </c>
      <c r="V48" s="21">
        <f t="shared" si="33"/>
        <v>97.999999999999972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-122.44897959183572</v>
      </c>
      <c r="AF48" s="20">
        <f t="shared" si="9"/>
        <v>0.95918367346938804</v>
      </c>
      <c r="AG48" s="186"/>
    </row>
    <row r="49" spans="1:33" ht="15.75" customHeight="1">
      <c r="A49" s="183" t="s">
        <v>66</v>
      </c>
      <c r="B49" s="35" t="s">
        <v>108</v>
      </c>
      <c r="C49" s="174" t="s">
        <v>305</v>
      </c>
      <c r="D49" s="175"/>
      <c r="E49" s="35">
        <v>28.3</v>
      </c>
      <c r="F49" s="4">
        <v>2200</v>
      </c>
      <c r="G49" s="4">
        <f t="shared" si="31"/>
        <v>62260</v>
      </c>
      <c r="H49" s="21">
        <v>2</v>
      </c>
      <c r="I49" s="15">
        <v>8</v>
      </c>
      <c r="J49" s="17">
        <v>3000</v>
      </c>
      <c r="K49" s="16">
        <f t="shared" si="1"/>
        <v>375</v>
      </c>
      <c r="L49" s="15">
        <v>8</v>
      </c>
      <c r="M49" s="17">
        <f t="shared" si="32"/>
        <v>2869.5652173913045</v>
      </c>
      <c r="N49" s="17">
        <f t="shared" si="3"/>
        <v>358.69565217391306</v>
      </c>
      <c r="O49" s="18">
        <f t="shared" si="4"/>
        <v>0</v>
      </c>
      <c r="P49" s="19">
        <f t="shared" si="5"/>
        <v>-16.304347826086939</v>
      </c>
      <c r="Q49" s="20">
        <f t="shared" si="6"/>
        <v>0.95652173913043481</v>
      </c>
      <c r="R49" s="186"/>
      <c r="S49" s="27">
        <v>0.41180555555555548</v>
      </c>
      <c r="T49" s="27">
        <v>0.44374999999999992</v>
      </c>
      <c r="U49" s="4">
        <f t="shared" si="34"/>
        <v>4.9999999999999822</v>
      </c>
      <c r="V49" s="21">
        <f t="shared" si="33"/>
        <v>46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-130.43478260869551</v>
      </c>
      <c r="AF49" s="20">
        <f t="shared" si="9"/>
        <v>0.95652173913043481</v>
      </c>
      <c r="AG49" s="186"/>
    </row>
    <row r="50" spans="1:33" ht="15.75" customHeight="1">
      <c r="A50" s="183" t="s">
        <v>66</v>
      </c>
      <c r="B50" s="35" t="s">
        <v>108</v>
      </c>
      <c r="C50" s="174" t="s">
        <v>113</v>
      </c>
      <c r="D50" s="175"/>
      <c r="E50" s="35">
        <v>35.869999999999997</v>
      </c>
      <c r="F50" s="4">
        <v>4588</v>
      </c>
      <c r="G50" s="4">
        <f t="shared" si="31"/>
        <v>164571.56</v>
      </c>
      <c r="H50" s="21" t="s">
        <v>133</v>
      </c>
      <c r="I50" s="15">
        <v>9</v>
      </c>
      <c r="J50" s="17">
        <v>3000</v>
      </c>
      <c r="K50" s="16">
        <f t="shared" si="1"/>
        <v>333.33333333333331</v>
      </c>
      <c r="L50" s="15">
        <v>9</v>
      </c>
      <c r="M50" s="17">
        <f t="shared" si="32"/>
        <v>2867.4999999999982</v>
      </c>
      <c r="N50" s="17">
        <f t="shared" si="3"/>
        <v>318.61111111111092</v>
      </c>
      <c r="O50" s="18">
        <f t="shared" si="4"/>
        <v>0</v>
      </c>
      <c r="P50" s="19">
        <f t="shared" si="5"/>
        <v>-14.722222222222399</v>
      </c>
      <c r="Q50" s="20">
        <f t="shared" si="6"/>
        <v>0.95583333333333276</v>
      </c>
      <c r="R50" s="186"/>
      <c r="S50" s="27">
        <v>0.44791666666666657</v>
      </c>
      <c r="T50" s="27">
        <v>0.51458333333333328</v>
      </c>
      <c r="U50" s="4">
        <f t="shared" si="34"/>
        <v>5.9999999999999787</v>
      </c>
      <c r="V50" s="21">
        <f t="shared" si="33"/>
        <v>96.000000000000057</v>
      </c>
      <c r="W50" s="22">
        <f>T50</f>
        <v>0.51458333333333328</v>
      </c>
      <c r="X50" s="22">
        <f>S51</f>
        <v>0.55486111111111103</v>
      </c>
      <c r="Y50" s="25"/>
      <c r="Z50" s="25"/>
      <c r="AA50" s="176"/>
      <c r="AB50" s="177"/>
      <c r="AC50" s="24"/>
      <c r="AD50" s="24"/>
      <c r="AE50" s="18">
        <f t="shared" si="8"/>
        <v>-132.50000000000182</v>
      </c>
      <c r="AF50" s="20">
        <f t="shared" si="9"/>
        <v>0.95583333333333276</v>
      </c>
      <c r="AG50" s="186"/>
    </row>
    <row r="51" spans="1:33" ht="15.75" customHeight="1">
      <c r="A51" s="183" t="s">
        <v>66</v>
      </c>
      <c r="B51" s="35" t="s">
        <v>108</v>
      </c>
      <c r="C51" s="174" t="s">
        <v>111</v>
      </c>
      <c r="D51" s="175"/>
      <c r="E51" s="35">
        <v>21.13</v>
      </c>
      <c r="F51" s="4">
        <v>3664</v>
      </c>
      <c r="G51" s="4">
        <f t="shared" si="31"/>
        <v>77420.319999999992</v>
      </c>
      <c r="H51" s="21" t="s">
        <v>133</v>
      </c>
      <c r="I51" s="15">
        <v>10</v>
      </c>
      <c r="J51" s="17">
        <v>3000</v>
      </c>
      <c r="K51" s="16">
        <f t="shared" si="1"/>
        <v>300</v>
      </c>
      <c r="L51" s="15">
        <v>10</v>
      </c>
      <c r="M51" s="17">
        <f t="shared" si="32"/>
        <v>2855.0649350649337</v>
      </c>
      <c r="N51" s="17">
        <f t="shared" si="3"/>
        <v>285.50649350649337</v>
      </c>
      <c r="O51" s="18">
        <f t="shared" si="4"/>
        <v>0</v>
      </c>
      <c r="P51" s="19">
        <f t="shared" si="5"/>
        <v>-14.493506493506629</v>
      </c>
      <c r="Q51" s="20">
        <f t="shared" si="6"/>
        <v>0.95168831168831125</v>
      </c>
      <c r="R51" s="186"/>
      <c r="S51" s="27">
        <v>0.55486111111111103</v>
      </c>
      <c r="T51" s="27">
        <v>0.60833333333333328</v>
      </c>
      <c r="U51" s="4">
        <f t="shared" si="34"/>
        <v>57.999999999999957</v>
      </c>
      <c r="V51" s="21">
        <f t="shared" si="33"/>
        <v>77.000000000000043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-144.93506493506629</v>
      </c>
      <c r="AF51" s="20">
        <f t="shared" si="9"/>
        <v>0.95168831168831125</v>
      </c>
      <c r="AG51" s="186"/>
    </row>
    <row r="52" spans="1:33" ht="15.75" customHeight="1">
      <c r="A52" s="183" t="s">
        <v>66</v>
      </c>
      <c r="B52" s="35" t="s">
        <v>108</v>
      </c>
      <c r="C52" s="174" t="s">
        <v>112</v>
      </c>
      <c r="D52" s="175"/>
      <c r="E52" s="35">
        <v>27.17</v>
      </c>
      <c r="F52" s="4">
        <v>3504</v>
      </c>
      <c r="G52" s="4">
        <f t="shared" si="31"/>
        <v>95203.680000000008</v>
      </c>
      <c r="H52" s="21" t="s">
        <v>133</v>
      </c>
      <c r="I52" s="15">
        <v>10</v>
      </c>
      <c r="J52" s="17">
        <v>3000</v>
      </c>
      <c r="K52" s="16">
        <f t="shared" si="1"/>
        <v>300</v>
      </c>
      <c r="L52" s="15">
        <v>10</v>
      </c>
      <c r="M52" s="17">
        <f t="shared" si="32"/>
        <v>2879.9999999999977</v>
      </c>
      <c r="N52" s="17">
        <f t="shared" si="3"/>
        <v>287.99999999999977</v>
      </c>
      <c r="O52" s="18">
        <f t="shared" si="4"/>
        <v>0</v>
      </c>
      <c r="P52" s="19">
        <f t="shared" si="5"/>
        <v>-12.000000000000227</v>
      </c>
      <c r="Q52" s="20">
        <f t="shared" si="6"/>
        <v>0.95999999999999919</v>
      </c>
      <c r="R52" s="186"/>
      <c r="S52" s="27">
        <v>0.61388888888888882</v>
      </c>
      <c r="T52" s="27">
        <v>0.6645833333333333</v>
      </c>
      <c r="U52" s="4">
        <f t="shared" si="34"/>
        <v>7.9999999999999716</v>
      </c>
      <c r="V52" s="21">
        <f t="shared" si="33"/>
        <v>73.000000000000057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-120.00000000000227</v>
      </c>
      <c r="AF52" s="20">
        <f t="shared" si="9"/>
        <v>0.95999999999999919</v>
      </c>
      <c r="AG52" s="186"/>
    </row>
    <row r="53" spans="1:33" ht="15.75" customHeight="1">
      <c r="A53" s="183" t="s">
        <v>66</v>
      </c>
      <c r="B53" s="35" t="s">
        <v>108</v>
      </c>
      <c r="C53" s="174" t="s">
        <v>305</v>
      </c>
      <c r="D53" s="175"/>
      <c r="E53" s="35">
        <v>28.3</v>
      </c>
      <c r="F53" s="4">
        <v>1602</v>
      </c>
      <c r="G53" s="4">
        <f t="shared" si="31"/>
        <v>45336.6</v>
      </c>
      <c r="H53" s="21" t="s">
        <v>133</v>
      </c>
      <c r="I53" s="15">
        <v>8</v>
      </c>
      <c r="J53" s="17">
        <v>3000</v>
      </c>
      <c r="K53" s="16">
        <f t="shared" si="1"/>
        <v>375</v>
      </c>
      <c r="L53" s="15">
        <v>8</v>
      </c>
      <c r="M53" s="17">
        <f t="shared" si="32"/>
        <v>2912.7272727272689</v>
      </c>
      <c r="N53" s="17">
        <f t="shared" si="3"/>
        <v>364.09090909090861</v>
      </c>
      <c r="O53" s="18">
        <f t="shared" si="4"/>
        <v>0</v>
      </c>
      <c r="P53" s="19">
        <f t="shared" si="5"/>
        <v>-10.90909090909139</v>
      </c>
      <c r="Q53" s="20">
        <f t="shared" si="6"/>
        <v>0.97090909090908961</v>
      </c>
      <c r="R53" s="186"/>
      <c r="S53" s="27">
        <v>0.67013888888888884</v>
      </c>
      <c r="T53" s="27">
        <v>0.69305555555555554</v>
      </c>
      <c r="U53" s="4">
        <f t="shared" si="34"/>
        <v>7.9999999999999716</v>
      </c>
      <c r="V53" s="21">
        <f t="shared" si="33"/>
        <v>33.000000000000043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-87.272727272731117</v>
      </c>
      <c r="AF53" s="20">
        <f t="shared" si="9"/>
        <v>0.97090909090908961</v>
      </c>
      <c r="AG53" s="186"/>
    </row>
    <row r="54" spans="1:33" ht="15.75" customHeight="1">
      <c r="A54" s="184" t="s">
        <v>66</v>
      </c>
      <c r="B54" s="35" t="s">
        <v>48</v>
      </c>
      <c r="C54" s="164"/>
      <c r="D54" s="165"/>
      <c r="E54" s="37"/>
      <c r="F54" s="4"/>
      <c r="G54" s="4"/>
      <c r="H54" s="4"/>
      <c r="I54" s="29">
        <v>9.4444444444444446</v>
      </c>
      <c r="J54" s="17">
        <v>3000</v>
      </c>
      <c r="K54" s="16">
        <f t="shared" si="1"/>
        <v>317.64705882352939</v>
      </c>
      <c r="L54" s="29">
        <v>9.4444444444444446</v>
      </c>
      <c r="M54" s="17">
        <f>AVERAGE(M45:M53)</f>
        <v>2875.4270954705139</v>
      </c>
      <c r="N54" s="16">
        <f t="shared" si="3"/>
        <v>304.45698657923089</v>
      </c>
      <c r="O54" s="18">
        <f t="shared" si="4"/>
        <v>0</v>
      </c>
      <c r="P54" s="19">
        <f t="shared" si="5"/>
        <v>-13.190072244298506</v>
      </c>
      <c r="Q54" s="20">
        <f t="shared" si="6"/>
        <v>0.95847569849017134</v>
      </c>
      <c r="R54" s="187"/>
      <c r="S54" s="27"/>
      <c r="T54" s="27"/>
      <c r="U54" s="4"/>
      <c r="V54" s="21"/>
      <c r="W54" s="22"/>
      <c r="X54" s="22"/>
      <c r="Y54" s="30">
        <f>SUM(Y45:Y53)</f>
        <v>0</v>
      </c>
      <c r="Z54" s="30">
        <f>SUM(Z45:Z53)</f>
        <v>0</v>
      </c>
      <c r="AA54" s="180"/>
      <c r="AB54" s="181"/>
      <c r="AC54" s="30">
        <v>9</v>
      </c>
      <c r="AD54" s="30">
        <f>SUM(AD45:AD53)</f>
        <v>0</v>
      </c>
      <c r="AE54" s="18">
        <f t="shared" si="8"/>
        <v>-124.5729045294861</v>
      </c>
      <c r="AF54" s="20">
        <f t="shared" si="9"/>
        <v>0.95847569849017134</v>
      </c>
      <c r="AG54" s="187"/>
    </row>
    <row r="55" spans="1:33" ht="15.75" customHeight="1">
      <c r="A55" s="178" t="s">
        <v>72</v>
      </c>
      <c r="B55" s="35" t="s">
        <v>84</v>
      </c>
      <c r="C55" s="163" t="s">
        <v>114</v>
      </c>
      <c r="D55" s="163"/>
      <c r="E55" s="35">
        <v>46</v>
      </c>
      <c r="F55" s="38">
        <v>2217</v>
      </c>
      <c r="G55" s="4">
        <f t="shared" ref="G55:G63" si="35">E55*F55</f>
        <v>101982</v>
      </c>
      <c r="H55" s="21" t="s">
        <v>133</v>
      </c>
      <c r="I55" s="15">
        <v>17</v>
      </c>
      <c r="J55" s="17">
        <v>2000</v>
      </c>
      <c r="K55" s="16">
        <f t="shared" si="1"/>
        <v>117.64705882352941</v>
      </c>
      <c r="L55" s="15">
        <v>17</v>
      </c>
      <c r="M55" s="17">
        <f t="shared" ref="M55:M63" si="36">F55/V55*60</f>
        <v>1927.8260869565229</v>
      </c>
      <c r="N55" s="17">
        <f t="shared" si="3"/>
        <v>113.40153452685429</v>
      </c>
      <c r="O55" s="18">
        <f t="shared" si="4"/>
        <v>0</v>
      </c>
      <c r="P55" s="19">
        <f t="shared" si="5"/>
        <v>-4.2455242966751143</v>
      </c>
      <c r="Q55" s="20">
        <f t="shared" si="6"/>
        <v>0.96391304347826157</v>
      </c>
      <c r="R55" s="170">
        <f>Q64</f>
        <v>0.94478899730190902</v>
      </c>
      <c r="S55" s="27">
        <v>0.20833333333333334</v>
      </c>
      <c r="T55" s="27">
        <v>0.25624999999999998</v>
      </c>
      <c r="U55" s="27"/>
      <c r="V55" s="21">
        <f t="shared" ref="V55:V63" si="37">(T55-S55)*24*60</f>
        <v>68.999999999999957</v>
      </c>
      <c r="W55" s="27"/>
      <c r="X55" s="27"/>
      <c r="Y55" s="27"/>
      <c r="Z55" s="27"/>
      <c r="AA55" s="162"/>
      <c r="AB55" s="162"/>
      <c r="AC55" s="24">
        <v>9</v>
      </c>
      <c r="AD55" s="24"/>
      <c r="AE55" s="18">
        <f t="shared" si="8"/>
        <v>-72.173913043477114</v>
      </c>
      <c r="AF55" s="20">
        <f t="shared" si="9"/>
        <v>0.96391304347826146</v>
      </c>
      <c r="AG55" s="170">
        <f>AF64</f>
        <v>0.94478899730190902</v>
      </c>
    </row>
    <row r="56" spans="1:33" ht="15.75" customHeight="1">
      <c r="A56" s="178" t="s">
        <v>72</v>
      </c>
      <c r="B56" s="35" t="s">
        <v>78</v>
      </c>
      <c r="C56" s="163" t="s">
        <v>115</v>
      </c>
      <c r="D56" s="163"/>
      <c r="E56" s="35">
        <v>56.43</v>
      </c>
      <c r="F56" s="38">
        <v>2046</v>
      </c>
      <c r="G56" s="4">
        <f t="shared" si="35"/>
        <v>115455.78</v>
      </c>
      <c r="H56" s="21" t="s">
        <v>133</v>
      </c>
      <c r="I56" s="15">
        <v>22</v>
      </c>
      <c r="J56" s="17">
        <v>2000</v>
      </c>
      <c r="K56" s="16">
        <f t="shared" si="1"/>
        <v>90.909090909090907</v>
      </c>
      <c r="L56" s="15">
        <v>22</v>
      </c>
      <c r="M56" s="17">
        <f t="shared" si="36"/>
        <v>1805.294117647059</v>
      </c>
      <c r="N56" s="17">
        <f t="shared" si="3"/>
        <v>82.058823529411768</v>
      </c>
      <c r="O56" s="18">
        <f t="shared" si="4"/>
        <v>0</v>
      </c>
      <c r="P56" s="19">
        <f t="shared" si="5"/>
        <v>-8.8502673796791385</v>
      </c>
      <c r="Q56" s="20">
        <f t="shared" si="6"/>
        <v>0.90264705882352947</v>
      </c>
      <c r="R56" s="170"/>
      <c r="S56" s="27">
        <v>0.26041666666666663</v>
      </c>
      <c r="T56" s="27">
        <v>0.30763888888888885</v>
      </c>
      <c r="U56" s="4">
        <f t="shared" ref="U56:U63" si="38">IF(S56=TIME(17,0,0),"",(S56-T55)*24*60)</f>
        <v>5.9999999999999787</v>
      </c>
      <c r="V56" s="21">
        <f t="shared" si="37"/>
        <v>68</v>
      </c>
      <c r="W56" s="22"/>
      <c r="X56" s="22"/>
      <c r="Y56" s="22"/>
      <c r="Z56" s="22"/>
      <c r="AA56" s="162"/>
      <c r="AB56" s="162"/>
      <c r="AC56" s="24"/>
      <c r="AD56" s="24"/>
      <c r="AE56" s="18">
        <f t="shared" si="8"/>
        <v>-194.70588235294099</v>
      </c>
      <c r="AF56" s="20">
        <f t="shared" si="9"/>
        <v>0.90264705882352947</v>
      </c>
      <c r="AG56" s="170"/>
    </row>
    <row r="57" spans="1:33" ht="15.75" customHeight="1">
      <c r="A57" s="178" t="s">
        <v>72</v>
      </c>
      <c r="B57" s="35" t="s">
        <v>78</v>
      </c>
      <c r="C57" s="174" t="s">
        <v>116</v>
      </c>
      <c r="D57" s="175"/>
      <c r="E57" s="35">
        <v>51.75</v>
      </c>
      <c r="F57" s="38">
        <v>1498</v>
      </c>
      <c r="G57" s="4">
        <f t="shared" si="35"/>
        <v>77521.5</v>
      </c>
      <c r="H57" s="21" t="s">
        <v>133</v>
      </c>
      <c r="I57" s="15">
        <v>25</v>
      </c>
      <c r="J57" s="17">
        <v>2000</v>
      </c>
      <c r="K57" s="16">
        <f t="shared" si="1"/>
        <v>80</v>
      </c>
      <c r="L57" s="15">
        <v>25</v>
      </c>
      <c r="M57" s="17">
        <f t="shared" si="36"/>
        <v>1834.2857142857149</v>
      </c>
      <c r="N57" s="17">
        <f t="shared" si="3"/>
        <v>73.371428571428595</v>
      </c>
      <c r="O57" s="18">
        <f t="shared" si="4"/>
        <v>0</v>
      </c>
      <c r="P57" s="19">
        <f t="shared" si="5"/>
        <v>-6.628571428571405</v>
      </c>
      <c r="Q57" s="20">
        <f t="shared" si="6"/>
        <v>0.91714285714285748</v>
      </c>
      <c r="R57" s="170"/>
      <c r="S57" s="27">
        <v>0.31319444444444439</v>
      </c>
      <c r="T57" s="27">
        <v>0.34722222222222215</v>
      </c>
      <c r="U57" s="4">
        <f t="shared" si="38"/>
        <v>7.9999999999999716</v>
      </c>
      <c r="V57" s="21">
        <f t="shared" si="37"/>
        <v>48.999999999999986</v>
      </c>
      <c r="W57" s="22"/>
      <c r="X57" s="22"/>
      <c r="Y57" s="25"/>
      <c r="Z57" s="25"/>
      <c r="AA57" s="162"/>
      <c r="AB57" s="162"/>
      <c r="AC57" s="24"/>
      <c r="AD57" s="24"/>
      <c r="AE57" s="18">
        <f t="shared" si="8"/>
        <v>-165.7142857142851</v>
      </c>
      <c r="AF57" s="20">
        <f t="shared" si="9"/>
        <v>0.91714285714285748</v>
      </c>
      <c r="AG57" s="170"/>
    </row>
    <row r="58" spans="1:33" ht="15.75" customHeight="1">
      <c r="A58" s="178" t="s">
        <v>72</v>
      </c>
      <c r="B58" s="35" t="s">
        <v>78</v>
      </c>
      <c r="C58" s="39" t="s">
        <v>117</v>
      </c>
      <c r="D58" s="40"/>
      <c r="E58" s="35">
        <v>54.09</v>
      </c>
      <c r="F58" s="38">
        <v>1431</v>
      </c>
      <c r="G58" s="4">
        <f t="shared" si="35"/>
        <v>77402.790000000008</v>
      </c>
      <c r="H58" s="21" t="s">
        <v>133</v>
      </c>
      <c r="I58" s="15">
        <v>19</v>
      </c>
      <c r="J58" s="17">
        <v>2000</v>
      </c>
      <c r="K58" s="16">
        <f t="shared" si="1"/>
        <v>105.26315789473684</v>
      </c>
      <c r="L58" s="15">
        <v>19</v>
      </c>
      <c r="M58" s="17">
        <f t="shared" si="36"/>
        <v>1826.8085106382982</v>
      </c>
      <c r="N58" s="17">
        <f t="shared" si="3"/>
        <v>96.147816349384115</v>
      </c>
      <c r="O58" s="18">
        <f t="shared" si="4"/>
        <v>0</v>
      </c>
      <c r="P58" s="19">
        <f t="shared" si="5"/>
        <v>-9.1153415453527202</v>
      </c>
      <c r="Q58" s="20">
        <f t="shared" si="6"/>
        <v>0.91340425531914915</v>
      </c>
      <c r="R58" s="170"/>
      <c r="S58" s="27">
        <v>0.35069444444444436</v>
      </c>
      <c r="T58" s="27">
        <v>0.38333333333333325</v>
      </c>
      <c r="U58" s="4">
        <f t="shared" si="38"/>
        <v>4.9999999999999822</v>
      </c>
      <c r="V58" s="21">
        <f t="shared" si="37"/>
        <v>46.999999999999993</v>
      </c>
      <c r="W58" s="22"/>
      <c r="X58" s="22"/>
      <c r="Y58" s="25"/>
      <c r="Z58" s="25"/>
      <c r="AA58" s="162"/>
      <c r="AB58" s="162"/>
      <c r="AC58" s="24"/>
      <c r="AD58" s="24"/>
      <c r="AE58" s="18">
        <f t="shared" si="8"/>
        <v>-173.19148936170177</v>
      </c>
      <c r="AF58" s="20">
        <f t="shared" si="9"/>
        <v>0.91340425531914915</v>
      </c>
      <c r="AG58" s="170"/>
    </row>
    <row r="59" spans="1:33" ht="15.75" customHeight="1">
      <c r="A59" s="178" t="s">
        <v>72</v>
      </c>
      <c r="B59" s="35" t="s">
        <v>78</v>
      </c>
      <c r="C59" s="39" t="s">
        <v>118</v>
      </c>
      <c r="D59" s="40"/>
      <c r="E59" s="35">
        <v>57.73</v>
      </c>
      <c r="F59" s="38">
        <v>1154</v>
      </c>
      <c r="G59" s="4">
        <f t="shared" si="35"/>
        <v>66620.42</v>
      </c>
      <c r="H59" s="21" t="s">
        <v>133</v>
      </c>
      <c r="I59" s="15">
        <v>16</v>
      </c>
      <c r="J59" s="17">
        <v>1500</v>
      </c>
      <c r="K59" s="16">
        <f t="shared" si="1"/>
        <v>93.75</v>
      </c>
      <c r="L59" s="15">
        <v>16</v>
      </c>
      <c r="M59" s="17">
        <f t="shared" si="36"/>
        <v>1442.5000000000005</v>
      </c>
      <c r="N59" s="17">
        <f t="shared" si="3"/>
        <v>90.156250000000028</v>
      </c>
      <c r="O59" s="18">
        <f t="shared" si="4"/>
        <v>0</v>
      </c>
      <c r="P59" s="19">
        <f t="shared" si="5"/>
        <v>-3.5937499999999716</v>
      </c>
      <c r="Q59" s="20">
        <f t="shared" si="6"/>
        <v>0.961666666666667</v>
      </c>
      <c r="R59" s="170"/>
      <c r="S59" s="27">
        <v>0.70833333333333337</v>
      </c>
      <c r="T59" s="27">
        <v>0.7416666666666667</v>
      </c>
      <c r="U59" s="4" t="str">
        <f t="shared" si="38"/>
        <v/>
      </c>
      <c r="V59" s="21">
        <f t="shared" si="37"/>
        <v>47.999999999999986</v>
      </c>
      <c r="W59" s="22"/>
      <c r="X59" s="22"/>
      <c r="Y59" s="25"/>
      <c r="Z59" s="25"/>
      <c r="AA59" s="162"/>
      <c r="AB59" s="162"/>
      <c r="AC59" s="24"/>
      <c r="AD59" s="24"/>
      <c r="AE59" s="18">
        <f t="shared" si="8"/>
        <v>-57.499999999999545</v>
      </c>
      <c r="AF59" s="20">
        <f t="shared" si="9"/>
        <v>0.961666666666667</v>
      </c>
      <c r="AG59" s="170"/>
    </row>
    <row r="60" spans="1:33" ht="15.75" customHeight="1">
      <c r="A60" s="178" t="s">
        <v>72</v>
      </c>
      <c r="B60" s="35" t="s">
        <v>78</v>
      </c>
      <c r="C60" s="174" t="s">
        <v>119</v>
      </c>
      <c r="D60" s="175"/>
      <c r="E60" s="35">
        <v>54.29</v>
      </c>
      <c r="F60" s="38">
        <v>1389</v>
      </c>
      <c r="G60" s="4">
        <f t="shared" si="35"/>
        <v>75408.81</v>
      </c>
      <c r="H60" s="21" t="s">
        <v>133</v>
      </c>
      <c r="I60" s="15">
        <v>20</v>
      </c>
      <c r="J60" s="17">
        <v>2000</v>
      </c>
      <c r="K60" s="16">
        <f t="shared" si="1"/>
        <v>100</v>
      </c>
      <c r="L60" s="15">
        <v>20</v>
      </c>
      <c r="M60" s="17">
        <f t="shared" si="36"/>
        <v>1938.1395348837207</v>
      </c>
      <c r="N60" s="17">
        <f t="shared" si="3"/>
        <v>96.906976744186039</v>
      </c>
      <c r="O60" s="18">
        <f t="shared" si="4"/>
        <v>0</v>
      </c>
      <c r="P60" s="19">
        <f t="shared" si="5"/>
        <v>-3.0930232558139608</v>
      </c>
      <c r="Q60" s="20">
        <f t="shared" si="6"/>
        <v>0.96906976744186035</v>
      </c>
      <c r="R60" s="170"/>
      <c r="S60" s="27">
        <v>0.74722222222222223</v>
      </c>
      <c r="T60" s="27">
        <v>0.77708333333333335</v>
      </c>
      <c r="U60" s="4">
        <f t="shared" si="38"/>
        <v>7.9999999999999716</v>
      </c>
      <c r="V60" s="21">
        <f t="shared" si="37"/>
        <v>43.000000000000007</v>
      </c>
      <c r="W60" s="22"/>
      <c r="X60" s="22"/>
      <c r="Y60" s="25"/>
      <c r="Z60" s="25"/>
      <c r="AA60" s="176"/>
      <c r="AB60" s="177"/>
      <c r="AC60" s="24"/>
      <c r="AD60" s="24"/>
      <c r="AE60" s="18">
        <f t="shared" si="8"/>
        <v>-61.860465116279329</v>
      </c>
      <c r="AF60" s="20">
        <f t="shared" si="9"/>
        <v>0.96906976744186035</v>
      </c>
      <c r="AG60" s="170"/>
    </row>
    <row r="61" spans="1:33" ht="15.75" customHeight="1">
      <c r="A61" s="178" t="s">
        <v>72</v>
      </c>
      <c r="B61" s="35" t="s">
        <v>78</v>
      </c>
      <c r="C61" s="174" t="s">
        <v>120</v>
      </c>
      <c r="D61" s="175"/>
      <c r="E61" s="35">
        <v>55.56</v>
      </c>
      <c r="F61" s="38">
        <v>800</v>
      </c>
      <c r="G61" s="4">
        <f t="shared" si="35"/>
        <v>44448</v>
      </c>
      <c r="H61" s="21">
        <v>2</v>
      </c>
      <c r="I61" s="15">
        <v>17</v>
      </c>
      <c r="J61" s="17">
        <v>2000</v>
      </c>
      <c r="K61" s="16">
        <f t="shared" si="1"/>
        <v>117.64705882352941</v>
      </c>
      <c r="L61" s="15">
        <v>17</v>
      </c>
      <c r="M61" s="17">
        <f t="shared" si="36"/>
        <v>1919.9999999999945</v>
      </c>
      <c r="N61" s="17">
        <f t="shared" si="3"/>
        <v>112.94117647058792</v>
      </c>
      <c r="O61" s="18">
        <f t="shared" si="4"/>
        <v>0</v>
      </c>
      <c r="P61" s="19">
        <f t="shared" si="5"/>
        <v>-4.7058823529414866</v>
      </c>
      <c r="Q61" s="20">
        <f t="shared" si="6"/>
        <v>0.95999999999999741</v>
      </c>
      <c r="R61" s="170"/>
      <c r="S61" s="27">
        <v>0.78194444444444444</v>
      </c>
      <c r="T61" s="27">
        <v>0.7993055555555556</v>
      </c>
      <c r="U61" s="4">
        <f t="shared" si="38"/>
        <v>6.9999999999999751</v>
      </c>
      <c r="V61" s="21">
        <f t="shared" si="37"/>
        <v>25.000000000000071</v>
      </c>
      <c r="W61" s="22"/>
      <c r="X61" s="22"/>
      <c r="Y61" s="25"/>
      <c r="Z61" s="25"/>
      <c r="AA61" s="176"/>
      <c r="AB61" s="177"/>
      <c r="AC61" s="24"/>
      <c r="AD61" s="24"/>
      <c r="AE61" s="18">
        <f t="shared" si="8"/>
        <v>-80.000000000005457</v>
      </c>
      <c r="AF61" s="20">
        <f t="shared" si="9"/>
        <v>0.9599999999999973</v>
      </c>
      <c r="AG61" s="170"/>
    </row>
    <row r="62" spans="1:33" ht="15.75" customHeight="1">
      <c r="A62" s="178" t="s">
        <v>72</v>
      </c>
      <c r="B62" s="35" t="s">
        <v>78</v>
      </c>
      <c r="C62" s="174" t="s">
        <v>121</v>
      </c>
      <c r="D62" s="175"/>
      <c r="E62" s="35">
        <v>55.32</v>
      </c>
      <c r="F62" s="38">
        <v>1651</v>
      </c>
      <c r="G62" s="4">
        <f t="shared" si="35"/>
        <v>91333.32</v>
      </c>
      <c r="H62" s="21" t="s">
        <v>133</v>
      </c>
      <c r="I62" s="15">
        <v>15</v>
      </c>
      <c r="J62" s="17">
        <v>2000</v>
      </c>
      <c r="K62" s="16">
        <f t="shared" si="1"/>
        <v>133.33333333333334</v>
      </c>
      <c r="L62" s="15">
        <v>15</v>
      </c>
      <c r="M62" s="17">
        <f t="shared" si="36"/>
        <v>1905.0000000000011</v>
      </c>
      <c r="N62" s="17">
        <f t="shared" si="3"/>
        <v>127.00000000000007</v>
      </c>
      <c r="O62" s="18">
        <f t="shared" si="4"/>
        <v>0</v>
      </c>
      <c r="P62" s="19">
        <f t="shared" si="5"/>
        <v>-6.3333333333332718</v>
      </c>
      <c r="Q62" s="20">
        <f t="shared" si="6"/>
        <v>0.95250000000000046</v>
      </c>
      <c r="R62" s="170"/>
      <c r="S62" s="27">
        <v>0.80277777777777781</v>
      </c>
      <c r="T62" s="27">
        <v>0.83888888888888891</v>
      </c>
      <c r="U62" s="4">
        <f t="shared" si="38"/>
        <v>4.9999999999999822</v>
      </c>
      <c r="V62" s="21">
        <f t="shared" si="37"/>
        <v>51.999999999999972</v>
      </c>
      <c r="W62" s="22">
        <f>T62</f>
        <v>0.83888888888888891</v>
      </c>
      <c r="X62" s="22">
        <f>S63</f>
        <v>0.87777777777777777</v>
      </c>
      <c r="Y62" s="25"/>
      <c r="Z62" s="25"/>
      <c r="AA62" s="176"/>
      <c r="AB62" s="177"/>
      <c r="AC62" s="24"/>
      <c r="AD62" s="24"/>
      <c r="AE62" s="18">
        <f t="shared" si="8"/>
        <v>-94.999999999998863</v>
      </c>
      <c r="AF62" s="20">
        <f t="shared" si="9"/>
        <v>0.95250000000000057</v>
      </c>
      <c r="AG62" s="170"/>
    </row>
    <row r="63" spans="1:33">
      <c r="A63" s="178" t="s">
        <v>72</v>
      </c>
      <c r="B63" s="35" t="s">
        <v>78</v>
      </c>
      <c r="C63" s="174" t="s">
        <v>120</v>
      </c>
      <c r="D63" s="175"/>
      <c r="E63" s="35">
        <v>55.56</v>
      </c>
      <c r="F63" s="38">
        <v>1386</v>
      </c>
      <c r="G63" s="4">
        <f t="shared" si="35"/>
        <v>77006.16</v>
      </c>
      <c r="H63" s="21" t="s">
        <v>133</v>
      </c>
      <c r="I63" s="15">
        <v>17</v>
      </c>
      <c r="J63" s="17">
        <v>2000</v>
      </c>
      <c r="K63" s="16">
        <f t="shared" si="1"/>
        <v>117.64705882352941</v>
      </c>
      <c r="L63" s="15">
        <v>17</v>
      </c>
      <c r="M63" s="17">
        <f t="shared" si="36"/>
        <v>1933.9534883720928</v>
      </c>
      <c r="N63" s="17">
        <f t="shared" si="3"/>
        <v>113.76196990424076</v>
      </c>
      <c r="O63" s="18">
        <f t="shared" si="4"/>
        <v>0</v>
      </c>
      <c r="P63" s="19">
        <f t="shared" si="5"/>
        <v>-3.8850889192886484</v>
      </c>
      <c r="Q63" s="20">
        <f t="shared" si="6"/>
        <v>0.96697674418604651</v>
      </c>
      <c r="R63" s="170"/>
      <c r="S63" s="27">
        <v>0.87777777777777777</v>
      </c>
      <c r="T63" s="27">
        <v>0.90763888888888888</v>
      </c>
      <c r="U63" s="4">
        <f t="shared" si="38"/>
        <v>55.999999999999957</v>
      </c>
      <c r="V63" s="21">
        <f t="shared" si="37"/>
        <v>43.000000000000007</v>
      </c>
      <c r="W63" s="22"/>
      <c r="X63" s="22"/>
      <c r="Y63" s="25"/>
      <c r="Z63" s="25"/>
      <c r="AA63" s="176"/>
      <c r="AB63" s="177"/>
      <c r="AC63" s="24"/>
      <c r="AD63" s="24"/>
      <c r="AE63" s="18">
        <f t="shared" si="8"/>
        <v>-66.046511627907194</v>
      </c>
      <c r="AF63" s="20">
        <f t="shared" si="9"/>
        <v>0.9669767441860464</v>
      </c>
      <c r="AG63" s="170"/>
    </row>
    <row r="64" spans="1:33">
      <c r="A64" s="179" t="s">
        <v>72</v>
      </c>
      <c r="B64" s="35" t="s">
        <v>48</v>
      </c>
      <c r="C64" s="171"/>
      <c r="D64" s="171"/>
      <c r="E64" s="36"/>
      <c r="F64" s="16"/>
      <c r="G64" s="16"/>
      <c r="H64" s="4"/>
      <c r="I64" s="29">
        <v>18.666666666666668</v>
      </c>
      <c r="J64" s="17">
        <v>1944.4444444444443</v>
      </c>
      <c r="K64" s="16">
        <f t="shared" si="1"/>
        <v>104.16666666666666</v>
      </c>
      <c r="L64" s="29">
        <v>18.666666666666668</v>
      </c>
      <c r="M64" s="17">
        <f>AVERAGE(M55:M63)</f>
        <v>1837.0897169759342</v>
      </c>
      <c r="N64" s="16">
        <f t="shared" si="3"/>
        <v>98.415520552282175</v>
      </c>
      <c r="O64" s="18">
        <f t="shared" si="4"/>
        <v>0</v>
      </c>
      <c r="P64" s="19">
        <f t="shared" si="5"/>
        <v>-5.7511461143844826</v>
      </c>
      <c r="Q64" s="20">
        <f t="shared" si="6"/>
        <v>0.94478899730190902</v>
      </c>
      <c r="R64" s="170"/>
      <c r="S64" s="27"/>
      <c r="T64" s="27"/>
      <c r="U64" s="4"/>
      <c r="V64" s="21"/>
      <c r="W64" s="16"/>
      <c r="X64" s="16"/>
      <c r="Y64" s="30">
        <f>SUM(Y55:Y63)</f>
        <v>0</v>
      </c>
      <c r="Z64" s="30">
        <f>SUM(Z55:Z63)</f>
        <v>0</v>
      </c>
      <c r="AA64" s="166"/>
      <c r="AB64" s="166"/>
      <c r="AC64" s="30">
        <v>9</v>
      </c>
      <c r="AD64" s="30">
        <f>SUM(AD55:AD63)</f>
        <v>0</v>
      </c>
      <c r="AE64" s="18">
        <f>M64-J64</f>
        <v>-107.35472746851019</v>
      </c>
      <c r="AF64" s="20">
        <f t="shared" si="9"/>
        <v>0.94478899730190902</v>
      </c>
      <c r="AG64" s="170"/>
    </row>
    <row r="65" spans="1:33" ht="15.75" customHeight="1">
      <c r="A65" s="172" t="s">
        <v>703</v>
      </c>
      <c r="B65" s="4" t="s">
        <v>84</v>
      </c>
      <c r="C65" s="163" t="s">
        <v>122</v>
      </c>
      <c r="D65" s="163"/>
      <c r="E65" s="35">
        <v>26.97</v>
      </c>
      <c r="F65" s="38">
        <v>3222</v>
      </c>
      <c r="G65" s="4">
        <f t="shared" ref="G65:G68" si="39">E65*F65</f>
        <v>86897.34</v>
      </c>
      <c r="H65" s="21" t="s">
        <v>133</v>
      </c>
      <c r="I65" s="15">
        <v>8</v>
      </c>
      <c r="J65" s="17">
        <v>1500</v>
      </c>
      <c r="K65" s="16">
        <f t="shared" si="1"/>
        <v>187.5</v>
      </c>
      <c r="L65" s="15">
        <v>8</v>
      </c>
      <c r="M65" s="17">
        <f t="shared" ref="M65:M68" si="40">F65/V65*60</f>
        <v>1431.9999999999993</v>
      </c>
      <c r="N65" s="16">
        <f t="shared" si="3"/>
        <v>178.99999999999991</v>
      </c>
      <c r="O65" s="18">
        <f t="shared" si="4"/>
        <v>0</v>
      </c>
      <c r="P65" s="19">
        <f t="shared" si="5"/>
        <v>-8.5000000000000853</v>
      </c>
      <c r="Q65" s="20">
        <f t="shared" si="6"/>
        <v>0.95466666666666622</v>
      </c>
      <c r="R65" s="170">
        <f>Q69</f>
        <v>0.95635139964264426</v>
      </c>
      <c r="S65" s="27">
        <v>0.20833333333333334</v>
      </c>
      <c r="T65" s="27">
        <v>0.30208333333333337</v>
      </c>
      <c r="U65" s="4"/>
      <c r="V65" s="21">
        <f t="shared" ref="V65:V68" si="41">(T65-S65)*24*60</f>
        <v>135.00000000000006</v>
      </c>
      <c r="W65" s="27"/>
      <c r="X65" s="27"/>
      <c r="Y65" s="27"/>
      <c r="Z65" s="27"/>
      <c r="AA65" s="162"/>
      <c r="AB65" s="162"/>
      <c r="AC65" s="24">
        <v>4</v>
      </c>
      <c r="AD65" s="24"/>
      <c r="AE65" s="18">
        <f t="shared" ref="AE65:AE77" si="42">M65-J65</f>
        <v>-68.000000000000682</v>
      </c>
      <c r="AF65" s="20">
        <f t="shared" si="9"/>
        <v>0.95466666666666622</v>
      </c>
      <c r="AG65" s="170">
        <f>AF69</f>
        <v>0.95635139964264437</v>
      </c>
    </row>
    <row r="66" spans="1:33" ht="15.75" customHeight="1">
      <c r="A66" s="172" t="s">
        <v>703</v>
      </c>
      <c r="B66" s="4" t="s">
        <v>108</v>
      </c>
      <c r="C66" s="163" t="s">
        <v>125</v>
      </c>
      <c r="D66" s="163"/>
      <c r="E66" s="35">
        <v>37.85</v>
      </c>
      <c r="F66" s="38">
        <v>1925</v>
      </c>
      <c r="G66" s="4">
        <f t="shared" si="39"/>
        <v>72861.25</v>
      </c>
      <c r="H66" s="21" t="s">
        <v>133</v>
      </c>
      <c r="I66" s="15">
        <v>12</v>
      </c>
      <c r="J66" s="17">
        <v>2000</v>
      </c>
      <c r="K66" s="16">
        <f t="shared" si="1"/>
        <v>166.66666666666666</v>
      </c>
      <c r="L66" s="15">
        <v>12</v>
      </c>
      <c r="M66" s="17">
        <f t="shared" si="40"/>
        <v>1924.9999999999993</v>
      </c>
      <c r="N66" s="16">
        <f t="shared" si="3"/>
        <v>160.4166666666666</v>
      </c>
      <c r="O66" s="18">
        <f t="shared" si="4"/>
        <v>0</v>
      </c>
      <c r="P66" s="19">
        <f t="shared" si="5"/>
        <v>-6.2500000000000568</v>
      </c>
      <c r="Q66" s="20">
        <f t="shared" si="6"/>
        <v>0.96249999999999969</v>
      </c>
      <c r="R66" s="170"/>
      <c r="S66" s="27">
        <v>0.30694444444444446</v>
      </c>
      <c r="T66" s="27">
        <v>0.34861111111111115</v>
      </c>
      <c r="U66" s="4">
        <f t="shared" ref="U66:U68" si="43">(S66-T65)*24*60</f>
        <v>6.9999999999999751</v>
      </c>
      <c r="V66" s="21">
        <f t="shared" si="41"/>
        <v>60.000000000000028</v>
      </c>
      <c r="W66" s="4"/>
      <c r="X66" s="4"/>
      <c r="Y66" s="4"/>
      <c r="Z66" s="4"/>
      <c r="AA66" s="162"/>
      <c r="AB66" s="162"/>
      <c r="AC66" s="24"/>
      <c r="AD66" s="24"/>
      <c r="AE66" s="18">
        <f t="shared" si="42"/>
        <v>-75.000000000000682</v>
      </c>
      <c r="AF66" s="20">
        <f t="shared" si="9"/>
        <v>0.96249999999999969</v>
      </c>
      <c r="AG66" s="170"/>
    </row>
    <row r="67" spans="1:33" ht="15.75" customHeight="1">
      <c r="A67" s="172" t="s">
        <v>703</v>
      </c>
      <c r="B67" s="4" t="s">
        <v>108</v>
      </c>
      <c r="C67" s="163" t="s">
        <v>126</v>
      </c>
      <c r="D67" s="163"/>
      <c r="E67" s="35">
        <v>34.36</v>
      </c>
      <c r="F67" s="38">
        <v>2202</v>
      </c>
      <c r="G67" s="4">
        <f t="shared" si="39"/>
        <v>75660.72</v>
      </c>
      <c r="H67" s="21" t="s">
        <v>133</v>
      </c>
      <c r="I67" s="15">
        <v>10</v>
      </c>
      <c r="J67" s="17">
        <v>3000</v>
      </c>
      <c r="K67" s="16">
        <f t="shared" si="1"/>
        <v>300</v>
      </c>
      <c r="L67" s="15">
        <v>10</v>
      </c>
      <c r="M67" s="17">
        <f t="shared" si="40"/>
        <v>2872.1739130434785</v>
      </c>
      <c r="N67" s="16">
        <f t="shared" si="3"/>
        <v>287.21739130434787</v>
      </c>
      <c r="O67" s="18">
        <f t="shared" si="4"/>
        <v>0</v>
      </c>
      <c r="P67" s="19">
        <f t="shared" si="5"/>
        <v>-12.782608695652129</v>
      </c>
      <c r="Q67" s="20">
        <f t="shared" si="6"/>
        <v>0.95739130434782627</v>
      </c>
      <c r="R67" s="170"/>
      <c r="S67" s="27">
        <v>0.3527777777777778</v>
      </c>
      <c r="T67" s="27">
        <v>0.38472222222222224</v>
      </c>
      <c r="U67" s="4">
        <f t="shared" si="43"/>
        <v>5.9999999999999787</v>
      </c>
      <c r="V67" s="21">
        <f t="shared" si="41"/>
        <v>46</v>
      </c>
      <c r="W67" s="4"/>
      <c r="X67" s="4"/>
      <c r="Y67" s="4"/>
      <c r="Z67" s="4"/>
      <c r="AA67" s="162"/>
      <c r="AB67" s="162"/>
      <c r="AC67" s="24"/>
      <c r="AD67" s="24"/>
      <c r="AE67" s="18">
        <f t="shared" si="42"/>
        <v>-127.82608695652152</v>
      </c>
      <c r="AF67" s="20">
        <f t="shared" si="9"/>
        <v>0.95739130434782616</v>
      </c>
      <c r="AG67" s="170"/>
    </row>
    <row r="68" spans="1:33" ht="15.75" customHeight="1">
      <c r="A68" s="172" t="s">
        <v>703</v>
      </c>
      <c r="B68" s="4" t="s">
        <v>108</v>
      </c>
      <c r="C68" s="163" t="s">
        <v>127</v>
      </c>
      <c r="D68" s="163"/>
      <c r="E68" s="35">
        <v>35.119999999999997</v>
      </c>
      <c r="F68" s="38">
        <v>6950</v>
      </c>
      <c r="G68" s="4">
        <f t="shared" si="39"/>
        <v>244083.99999999997</v>
      </c>
      <c r="H68" s="21" t="s">
        <v>133</v>
      </c>
      <c r="I68" s="15">
        <v>10</v>
      </c>
      <c r="J68" s="17">
        <v>3000</v>
      </c>
      <c r="K68" s="16">
        <f t="shared" si="1"/>
        <v>300</v>
      </c>
      <c r="L68" s="15">
        <v>10</v>
      </c>
      <c r="M68" s="17">
        <f t="shared" si="40"/>
        <v>2856.1643835616446</v>
      </c>
      <c r="N68" s="16">
        <f t="shared" si="3"/>
        <v>285.61643835616445</v>
      </c>
      <c r="O68" s="18">
        <f t="shared" si="4"/>
        <v>0</v>
      </c>
      <c r="P68" s="19">
        <f t="shared" si="5"/>
        <v>-14.383561643835549</v>
      </c>
      <c r="Q68" s="20">
        <f t="shared" si="6"/>
        <v>0.9520547945205482</v>
      </c>
      <c r="R68" s="170"/>
      <c r="S68" s="27">
        <v>0.38958333333333334</v>
      </c>
      <c r="T68" s="27">
        <v>0.4909722222222222</v>
      </c>
      <c r="U68" s="4">
        <f t="shared" si="43"/>
        <v>6.9999999999999751</v>
      </c>
      <c r="V68" s="21">
        <f t="shared" si="41"/>
        <v>145.99999999999997</v>
      </c>
      <c r="W68" s="4"/>
      <c r="X68" s="4"/>
      <c r="Y68" s="4"/>
      <c r="Z68" s="4"/>
      <c r="AA68" s="162"/>
      <c r="AB68" s="162"/>
      <c r="AC68" s="24"/>
      <c r="AD68" s="24"/>
      <c r="AE68" s="18">
        <f t="shared" si="42"/>
        <v>-143.83561643835537</v>
      </c>
      <c r="AF68" s="20">
        <f t="shared" si="9"/>
        <v>0.9520547945205482</v>
      </c>
      <c r="AG68" s="170"/>
    </row>
    <row r="69" spans="1:33">
      <c r="A69" s="173" t="s">
        <v>703</v>
      </c>
      <c r="B69" s="35" t="s">
        <v>48</v>
      </c>
      <c r="C69" s="171"/>
      <c r="D69" s="171"/>
      <c r="E69" s="36"/>
      <c r="F69" s="16"/>
      <c r="G69" s="16"/>
      <c r="H69" s="4"/>
      <c r="I69" s="29">
        <v>10</v>
      </c>
      <c r="J69" s="17">
        <v>2375</v>
      </c>
      <c r="K69" s="16">
        <f t="shared" ref="K69:K77" si="44">J69/I69</f>
        <v>237.5</v>
      </c>
      <c r="L69" s="29">
        <v>10</v>
      </c>
      <c r="M69" s="17">
        <f>AVERAGE(M65:M68)</f>
        <v>2271.3345741512803</v>
      </c>
      <c r="N69" s="16">
        <f t="shared" ref="N69:N77" si="45">M69/L69</f>
        <v>227.13345741512802</v>
      </c>
      <c r="O69" s="18">
        <f t="shared" ref="O69:O77" si="46">L69-I69</f>
        <v>0</v>
      </c>
      <c r="P69" s="19">
        <f t="shared" ref="P69:P77" si="47">N69-K69</f>
        <v>-10.366542584871979</v>
      </c>
      <c r="Q69" s="20">
        <f t="shared" ref="Q69:Q77" si="48">N69/K69</f>
        <v>0.95635139964264426</v>
      </c>
      <c r="R69" s="170"/>
      <c r="S69" s="27"/>
      <c r="T69" s="27"/>
      <c r="U69" s="16"/>
      <c r="V69" s="21"/>
      <c r="W69" s="16"/>
      <c r="X69" s="16"/>
      <c r="Y69" s="30">
        <f>SUM(Y65:Y68)</f>
        <v>0</v>
      </c>
      <c r="Z69" s="30">
        <f>SUM(Z65:Z68)</f>
        <v>0</v>
      </c>
      <c r="AA69" s="166"/>
      <c r="AB69" s="166"/>
      <c r="AC69" s="30">
        <v>4</v>
      </c>
      <c r="AD69" s="30">
        <f>SUM(AD65:AD68)</f>
        <v>0</v>
      </c>
      <c r="AE69" s="18">
        <f t="shared" si="42"/>
        <v>-103.66542584871968</v>
      </c>
      <c r="AF69" s="20">
        <f t="shared" ref="AF69:AF77" si="49">M69/J69</f>
        <v>0.95635139964264437</v>
      </c>
      <c r="AG69" s="170"/>
    </row>
    <row r="70" spans="1:33" ht="15.75" customHeight="1">
      <c r="A70" s="167" t="s">
        <v>75</v>
      </c>
      <c r="B70" s="4" t="s">
        <v>97</v>
      </c>
      <c r="C70" s="163" t="s">
        <v>128</v>
      </c>
      <c r="D70" s="163"/>
      <c r="E70" s="35">
        <v>20.2</v>
      </c>
      <c r="F70" s="4">
        <v>2317</v>
      </c>
      <c r="G70" s="4">
        <f t="shared" ref="G70:G76" si="50">E70*F70</f>
        <v>46803.4</v>
      </c>
      <c r="H70" s="21" t="s">
        <v>133</v>
      </c>
      <c r="I70" s="15">
        <v>15</v>
      </c>
      <c r="J70" s="17">
        <v>2400</v>
      </c>
      <c r="K70" s="16">
        <f t="shared" si="44"/>
        <v>160</v>
      </c>
      <c r="L70" s="15">
        <v>15</v>
      </c>
      <c r="M70" s="17">
        <f t="shared" ref="M70:M76" si="51">F70/V70*60</f>
        <v>2317.0000000000005</v>
      </c>
      <c r="N70" s="16">
        <f t="shared" si="45"/>
        <v>154.4666666666667</v>
      </c>
      <c r="O70" s="18">
        <f t="shared" si="46"/>
        <v>0</v>
      </c>
      <c r="P70" s="19">
        <f t="shared" si="47"/>
        <v>-5.533333333333303</v>
      </c>
      <c r="Q70" s="20">
        <f t="shared" si="48"/>
        <v>0.96541666666666681</v>
      </c>
      <c r="R70" s="170">
        <f>Q77</f>
        <v>0.95618459026353764</v>
      </c>
      <c r="S70" s="27">
        <v>0.125</v>
      </c>
      <c r="T70" s="27">
        <v>0.16666666666666666</v>
      </c>
      <c r="U70" s="27"/>
      <c r="V70" s="21">
        <f t="shared" ref="V70:V76" si="52">(T70-S70)*24*60</f>
        <v>59.999999999999986</v>
      </c>
      <c r="W70" s="22">
        <f>T70</f>
        <v>0.16666666666666666</v>
      </c>
      <c r="X70" s="22">
        <f>S71</f>
        <v>0.18402777777777773</v>
      </c>
      <c r="Y70" s="22"/>
      <c r="Z70" s="22"/>
      <c r="AA70" s="162"/>
      <c r="AB70" s="162"/>
      <c r="AC70" s="24">
        <v>7</v>
      </c>
      <c r="AD70" s="24"/>
      <c r="AE70" s="18">
        <f t="shared" si="42"/>
        <v>-82.999999999999545</v>
      </c>
      <c r="AF70" s="20">
        <f t="shared" si="49"/>
        <v>0.96541666666666681</v>
      </c>
      <c r="AG70" s="170">
        <f>AF77</f>
        <v>0.95618459026353753</v>
      </c>
    </row>
    <row r="71" spans="1:33" ht="15.75" customHeight="1">
      <c r="A71" s="168" t="s">
        <v>75</v>
      </c>
      <c r="B71" s="4" t="s">
        <v>97</v>
      </c>
      <c r="C71" s="163" t="s">
        <v>129</v>
      </c>
      <c r="D71" s="163"/>
      <c r="E71" s="35">
        <v>24.45</v>
      </c>
      <c r="F71" s="4">
        <v>2942</v>
      </c>
      <c r="G71" s="4">
        <f t="shared" si="50"/>
        <v>71931.899999999994</v>
      </c>
      <c r="H71" s="21" t="s">
        <v>133</v>
      </c>
      <c r="I71" s="15">
        <v>19</v>
      </c>
      <c r="J71" s="17">
        <v>2400</v>
      </c>
      <c r="K71" s="16">
        <f t="shared" si="44"/>
        <v>126.31578947368421</v>
      </c>
      <c r="L71" s="15">
        <v>19</v>
      </c>
      <c r="M71" s="17">
        <f t="shared" si="51"/>
        <v>2292.4675324675327</v>
      </c>
      <c r="N71" s="16">
        <f t="shared" si="45"/>
        <v>120.65618591934383</v>
      </c>
      <c r="O71" s="18">
        <f t="shared" si="46"/>
        <v>0</v>
      </c>
      <c r="P71" s="19">
        <f t="shared" si="47"/>
        <v>-5.6596035543403787</v>
      </c>
      <c r="Q71" s="20">
        <f t="shared" si="48"/>
        <v>0.95519480519480537</v>
      </c>
      <c r="R71" s="170"/>
      <c r="S71" s="27">
        <v>0.18402777777777773</v>
      </c>
      <c r="T71" s="27">
        <v>0.23749999999999996</v>
      </c>
      <c r="U71" s="4">
        <f t="shared" ref="U71:U76" si="53">(S71-T70)*24*60</f>
        <v>24.99999999999995</v>
      </c>
      <c r="V71" s="21">
        <f t="shared" si="52"/>
        <v>77</v>
      </c>
      <c r="W71" s="22"/>
      <c r="X71" s="22"/>
      <c r="Y71" s="22"/>
      <c r="Z71" s="22"/>
      <c r="AA71" s="162"/>
      <c r="AB71" s="162"/>
      <c r="AC71" s="24"/>
      <c r="AD71" s="24"/>
      <c r="AE71" s="18">
        <f t="shared" si="42"/>
        <v>-107.53246753246731</v>
      </c>
      <c r="AF71" s="20">
        <f t="shared" si="49"/>
        <v>0.95519480519480526</v>
      </c>
      <c r="AG71" s="170"/>
    </row>
    <row r="72" spans="1:33" ht="15.75" customHeight="1">
      <c r="A72" s="168" t="s">
        <v>75</v>
      </c>
      <c r="B72" s="4" t="s">
        <v>97</v>
      </c>
      <c r="C72" s="163" t="s">
        <v>106</v>
      </c>
      <c r="D72" s="163"/>
      <c r="E72" s="35">
        <v>20.21</v>
      </c>
      <c r="F72" s="4">
        <v>3449</v>
      </c>
      <c r="G72" s="4">
        <f t="shared" si="50"/>
        <v>69704.290000000008</v>
      </c>
      <c r="H72" s="21" t="s">
        <v>133</v>
      </c>
      <c r="I72" s="15">
        <v>15</v>
      </c>
      <c r="J72" s="17">
        <v>2400</v>
      </c>
      <c r="K72" s="16">
        <f t="shared" si="44"/>
        <v>160</v>
      </c>
      <c r="L72" s="15">
        <v>15</v>
      </c>
      <c r="M72" s="17">
        <f t="shared" si="51"/>
        <v>2299.3333333333335</v>
      </c>
      <c r="N72" s="16">
        <f t="shared" si="45"/>
        <v>153.28888888888889</v>
      </c>
      <c r="O72" s="18">
        <f t="shared" si="46"/>
        <v>0</v>
      </c>
      <c r="P72" s="19">
        <f t="shared" si="47"/>
        <v>-6.7111111111111086</v>
      </c>
      <c r="Q72" s="20">
        <f t="shared" si="48"/>
        <v>0.95805555555555555</v>
      </c>
      <c r="R72" s="170"/>
      <c r="S72" s="27">
        <v>0.24166666666666664</v>
      </c>
      <c r="T72" s="27">
        <v>0.30416666666666664</v>
      </c>
      <c r="U72" s="4">
        <f t="shared" si="53"/>
        <v>6.0000000000000187</v>
      </c>
      <c r="V72" s="21">
        <f t="shared" si="52"/>
        <v>90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42"/>
        <v>-100.66666666666652</v>
      </c>
      <c r="AF72" s="20">
        <f t="shared" si="49"/>
        <v>0.95805555555555566</v>
      </c>
      <c r="AG72" s="170"/>
    </row>
    <row r="73" spans="1:33" ht="15.75" customHeight="1">
      <c r="A73" s="168" t="s">
        <v>75</v>
      </c>
      <c r="B73" s="4" t="s">
        <v>97</v>
      </c>
      <c r="C73" s="163" t="s">
        <v>130</v>
      </c>
      <c r="D73" s="163"/>
      <c r="E73" s="35">
        <v>24.43</v>
      </c>
      <c r="F73" s="4">
        <v>4000</v>
      </c>
      <c r="G73" s="4">
        <f t="shared" si="50"/>
        <v>97720</v>
      </c>
      <c r="H73" s="21">
        <v>2</v>
      </c>
      <c r="I73" s="15">
        <v>14</v>
      </c>
      <c r="J73" s="17">
        <v>2400</v>
      </c>
      <c r="K73" s="16">
        <f t="shared" si="44"/>
        <v>171.42857142857142</v>
      </c>
      <c r="L73" s="15">
        <v>14</v>
      </c>
      <c r="M73" s="17">
        <f t="shared" si="51"/>
        <v>2285.7142857142853</v>
      </c>
      <c r="N73" s="16">
        <f t="shared" si="45"/>
        <v>163.26530612244895</v>
      </c>
      <c r="O73" s="18">
        <f t="shared" si="46"/>
        <v>0</v>
      </c>
      <c r="P73" s="19">
        <f t="shared" si="47"/>
        <v>-8.1632653061224687</v>
      </c>
      <c r="Q73" s="20">
        <f t="shared" si="48"/>
        <v>0.95238095238095222</v>
      </c>
      <c r="R73" s="170"/>
      <c r="S73" s="27">
        <v>0.30972222222222218</v>
      </c>
      <c r="T73" s="27">
        <v>0.38263888888888886</v>
      </c>
      <c r="U73" s="4">
        <f t="shared" si="53"/>
        <v>7.9999999999999716</v>
      </c>
      <c r="V73" s="21">
        <f t="shared" si="52"/>
        <v>105.00000000000003</v>
      </c>
      <c r="W73" s="22"/>
      <c r="X73" s="22"/>
      <c r="Y73" s="22"/>
      <c r="Z73" s="22"/>
      <c r="AA73" s="162"/>
      <c r="AB73" s="162"/>
      <c r="AC73" s="24"/>
      <c r="AD73" s="24"/>
      <c r="AE73" s="18">
        <f t="shared" si="42"/>
        <v>-114.28571428571468</v>
      </c>
      <c r="AF73" s="20">
        <f t="shared" si="49"/>
        <v>0.95238095238095222</v>
      </c>
      <c r="AG73" s="170"/>
    </row>
    <row r="74" spans="1:33" ht="15.75" customHeight="1">
      <c r="A74" s="168" t="s">
        <v>75</v>
      </c>
      <c r="B74" s="4" t="s">
        <v>97</v>
      </c>
      <c r="C74" s="163" t="s">
        <v>132</v>
      </c>
      <c r="D74" s="163"/>
      <c r="E74" s="35">
        <v>19.02</v>
      </c>
      <c r="F74" s="4">
        <v>5500</v>
      </c>
      <c r="G74" s="4">
        <f t="shared" si="50"/>
        <v>104610</v>
      </c>
      <c r="H74" s="21">
        <v>2</v>
      </c>
      <c r="I74" s="15">
        <v>14</v>
      </c>
      <c r="J74" s="17">
        <v>2400</v>
      </c>
      <c r="K74" s="16">
        <f t="shared" si="44"/>
        <v>171.42857142857142</v>
      </c>
      <c r="L74" s="15">
        <v>14</v>
      </c>
      <c r="M74" s="17">
        <f t="shared" si="51"/>
        <v>2291.666666666667</v>
      </c>
      <c r="N74" s="16">
        <f t="shared" si="45"/>
        <v>163.6904761904762</v>
      </c>
      <c r="O74" s="18">
        <f t="shared" si="46"/>
        <v>0</v>
      </c>
      <c r="P74" s="19">
        <f t="shared" si="47"/>
        <v>-7.7380952380952124</v>
      </c>
      <c r="Q74" s="20">
        <f t="shared" si="48"/>
        <v>0.95486111111111127</v>
      </c>
      <c r="R74" s="170"/>
      <c r="S74" s="27">
        <v>0.38749999999999996</v>
      </c>
      <c r="T74" s="27">
        <v>0.48749999999999993</v>
      </c>
      <c r="U74" s="4">
        <f t="shared" si="53"/>
        <v>6.9999999999999751</v>
      </c>
      <c r="V74" s="21">
        <f t="shared" si="52"/>
        <v>143.99999999999997</v>
      </c>
      <c r="W74" s="22">
        <f>T74</f>
        <v>0.48749999999999993</v>
      </c>
      <c r="X74" s="22">
        <f>S75</f>
        <v>0.52708333333333324</v>
      </c>
      <c r="Y74" s="22"/>
      <c r="Z74" s="22"/>
      <c r="AA74" s="162"/>
      <c r="AB74" s="162"/>
      <c r="AC74" s="24"/>
      <c r="AD74" s="24"/>
      <c r="AE74" s="18">
        <f t="shared" si="42"/>
        <v>-108.33333333333303</v>
      </c>
      <c r="AF74" s="20">
        <f t="shared" si="49"/>
        <v>0.95486111111111127</v>
      </c>
      <c r="AG74" s="170"/>
    </row>
    <row r="75" spans="1:33" ht="15.75" customHeight="1">
      <c r="A75" s="168" t="s">
        <v>75</v>
      </c>
      <c r="B75" s="4" t="s">
        <v>97</v>
      </c>
      <c r="C75" s="163" t="s">
        <v>132</v>
      </c>
      <c r="D75" s="163"/>
      <c r="E75" s="35">
        <v>19.02</v>
      </c>
      <c r="F75" s="4">
        <v>4353</v>
      </c>
      <c r="G75" s="4">
        <f t="shared" si="50"/>
        <v>82794.06</v>
      </c>
      <c r="H75" s="21" t="s">
        <v>133</v>
      </c>
      <c r="I75" s="15">
        <v>14</v>
      </c>
      <c r="J75" s="17">
        <v>2400</v>
      </c>
      <c r="K75" s="16">
        <f t="shared" si="44"/>
        <v>171.42857142857142</v>
      </c>
      <c r="L75" s="15">
        <v>14</v>
      </c>
      <c r="M75" s="17">
        <f t="shared" si="51"/>
        <v>2291.0526315789461</v>
      </c>
      <c r="N75" s="16">
        <f t="shared" si="45"/>
        <v>163.6466165413533</v>
      </c>
      <c r="O75" s="18">
        <f t="shared" si="46"/>
        <v>0</v>
      </c>
      <c r="P75" s="19">
        <f t="shared" si="47"/>
        <v>-7.7819548872181201</v>
      </c>
      <c r="Q75" s="20">
        <f t="shared" si="48"/>
        <v>0.95460526315789429</v>
      </c>
      <c r="R75" s="170"/>
      <c r="S75" s="27">
        <v>0.52708333333333324</v>
      </c>
      <c r="T75" s="27">
        <v>0.60624999999999996</v>
      </c>
      <c r="U75" s="4">
        <f t="shared" si="53"/>
        <v>56.999999999999957</v>
      </c>
      <c r="V75" s="21">
        <f t="shared" si="52"/>
        <v>114.00000000000007</v>
      </c>
      <c r="W75" s="22"/>
      <c r="X75" s="22"/>
      <c r="Y75" s="22"/>
      <c r="Z75" s="22"/>
      <c r="AA75" s="162"/>
      <c r="AB75" s="162"/>
      <c r="AC75" s="24"/>
      <c r="AD75" s="24"/>
      <c r="AE75" s="18">
        <f t="shared" si="42"/>
        <v>-108.94736842105385</v>
      </c>
      <c r="AF75" s="20">
        <f t="shared" si="49"/>
        <v>0.95460526315789418</v>
      </c>
      <c r="AG75" s="170"/>
    </row>
    <row r="76" spans="1:33" ht="15.75" customHeight="1">
      <c r="A76" s="168" t="s">
        <v>75</v>
      </c>
      <c r="B76" s="4" t="s">
        <v>97</v>
      </c>
      <c r="C76" s="163" t="s">
        <v>130</v>
      </c>
      <c r="D76" s="163"/>
      <c r="E76" s="35">
        <v>24.43</v>
      </c>
      <c r="F76" s="4">
        <v>3087</v>
      </c>
      <c r="G76" s="4">
        <f t="shared" si="50"/>
        <v>75415.41</v>
      </c>
      <c r="H76" s="21" t="s">
        <v>133</v>
      </c>
      <c r="I76" s="15">
        <v>14</v>
      </c>
      <c r="J76" s="17">
        <v>2400</v>
      </c>
      <c r="K76" s="16">
        <f t="shared" si="44"/>
        <v>171.42857142857142</v>
      </c>
      <c r="L76" s="15">
        <v>14</v>
      </c>
      <c r="M76" s="17">
        <f t="shared" si="51"/>
        <v>2286.6666666666661</v>
      </c>
      <c r="N76" s="16">
        <f t="shared" si="45"/>
        <v>163.33333333333329</v>
      </c>
      <c r="O76" s="18">
        <f t="shared" si="46"/>
        <v>0</v>
      </c>
      <c r="P76" s="19">
        <f t="shared" si="47"/>
        <v>-8.0952380952381304</v>
      </c>
      <c r="Q76" s="20">
        <f t="shared" si="48"/>
        <v>0.95277777777777761</v>
      </c>
      <c r="R76" s="170"/>
      <c r="S76" s="27">
        <v>0.61111111111111105</v>
      </c>
      <c r="T76" s="27">
        <v>0.66736111111111107</v>
      </c>
      <c r="U76" s="4">
        <f t="shared" si="53"/>
        <v>6.9999999999999751</v>
      </c>
      <c r="V76" s="21">
        <f t="shared" si="52"/>
        <v>81.000000000000028</v>
      </c>
      <c r="W76" s="22"/>
      <c r="X76" s="22"/>
      <c r="Y76" s="25"/>
      <c r="Z76" s="25"/>
      <c r="AA76" s="176"/>
      <c r="AB76" s="177"/>
      <c r="AC76" s="24"/>
      <c r="AD76" s="24"/>
      <c r="AE76" s="18">
        <f t="shared" si="42"/>
        <v>-113.33333333333394</v>
      </c>
      <c r="AF76" s="20">
        <f t="shared" si="49"/>
        <v>0.9527777777777775</v>
      </c>
      <c r="AG76" s="170"/>
    </row>
    <row r="77" spans="1:33" ht="16.5" customHeight="1">
      <c r="A77" s="169" t="s">
        <v>75</v>
      </c>
      <c r="B77" s="35" t="s">
        <v>48</v>
      </c>
      <c r="C77" s="164"/>
      <c r="D77" s="165"/>
      <c r="E77" s="36"/>
      <c r="F77" s="16"/>
      <c r="G77" s="16"/>
      <c r="H77" s="4"/>
      <c r="I77" s="29">
        <v>15</v>
      </c>
      <c r="J77" s="17">
        <v>2400</v>
      </c>
      <c r="K77" s="16">
        <f t="shared" si="44"/>
        <v>160</v>
      </c>
      <c r="L77" s="29">
        <v>15</v>
      </c>
      <c r="M77" s="17">
        <f>AVERAGE(M70:M76)</f>
        <v>2294.8430166324902</v>
      </c>
      <c r="N77" s="16">
        <f t="shared" si="45"/>
        <v>152.98953444216602</v>
      </c>
      <c r="O77" s="18">
        <f t="shared" si="46"/>
        <v>0</v>
      </c>
      <c r="P77" s="19">
        <f t="shared" si="47"/>
        <v>-7.0104655578339816</v>
      </c>
      <c r="Q77" s="20">
        <f t="shared" si="48"/>
        <v>0.95618459026353764</v>
      </c>
      <c r="R77" s="170"/>
      <c r="S77" s="27"/>
      <c r="T77" s="27"/>
      <c r="U77" s="16"/>
      <c r="V77" s="21"/>
      <c r="W77" s="16"/>
      <c r="X77" s="16"/>
      <c r="Y77" s="30">
        <f>SUM(Y70:Y76)</f>
        <v>0</v>
      </c>
      <c r="Z77" s="30">
        <f>SUM(Z70:Z76)</f>
        <v>0</v>
      </c>
      <c r="AA77" s="166"/>
      <c r="AB77" s="166"/>
      <c r="AC77" s="30">
        <v>7</v>
      </c>
      <c r="AD77" s="30">
        <f>SUM(AD70:AD76)</f>
        <v>0</v>
      </c>
      <c r="AE77" s="18">
        <f t="shared" si="42"/>
        <v>-105.15698336750984</v>
      </c>
      <c r="AF77" s="20">
        <f t="shared" si="49"/>
        <v>0.95618459026353753</v>
      </c>
      <c r="AG77" s="170"/>
    </row>
    <row r="78" spans="1:33">
      <c r="D78" s="41"/>
      <c r="E78" s="41"/>
    </row>
  </sheetData>
  <mergeCells count="207">
    <mergeCell ref="A70:A77"/>
    <mergeCell ref="C70:D70"/>
    <mergeCell ref="R70:R77"/>
    <mergeCell ref="AA70:AB70"/>
    <mergeCell ref="AG70:AG77"/>
    <mergeCell ref="C71:D71"/>
    <mergeCell ref="AA71:AB71"/>
    <mergeCell ref="C72:D72"/>
    <mergeCell ref="AA72:AB72"/>
    <mergeCell ref="C73:D73"/>
    <mergeCell ref="C77:D77"/>
    <mergeCell ref="AA77:AB77"/>
    <mergeCell ref="AA73:AB73"/>
    <mergeCell ref="C74:D74"/>
    <mergeCell ref="AA74:AB74"/>
    <mergeCell ref="C75:D75"/>
    <mergeCell ref="AA75:AB75"/>
    <mergeCell ref="C76:D76"/>
    <mergeCell ref="AA76:AB76"/>
    <mergeCell ref="A65:A69"/>
    <mergeCell ref="C65:D65"/>
    <mergeCell ref="R65:R69"/>
    <mergeCell ref="AA65:AB65"/>
    <mergeCell ref="AG55:AG64"/>
    <mergeCell ref="C56:D56"/>
    <mergeCell ref="AA56:AB56"/>
    <mergeCell ref="C57:D57"/>
    <mergeCell ref="AA57:AB57"/>
    <mergeCell ref="AA58:AB58"/>
    <mergeCell ref="AA59:AB59"/>
    <mergeCell ref="C60:D60"/>
    <mergeCell ref="AA60:AB60"/>
    <mergeCell ref="C61:D61"/>
    <mergeCell ref="AG65:AG69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A55:A64"/>
    <mergeCell ref="C55:D55"/>
    <mergeCell ref="R55:R64"/>
    <mergeCell ref="AA55:AB55"/>
    <mergeCell ref="AA61:AB61"/>
    <mergeCell ref="C62:D62"/>
    <mergeCell ref="AA62:AB62"/>
    <mergeCell ref="C63:D63"/>
    <mergeCell ref="AA63:AB63"/>
    <mergeCell ref="C64:D64"/>
    <mergeCell ref="AA64:AB64"/>
    <mergeCell ref="AG45:AG54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0:D50"/>
    <mergeCell ref="C54:D54"/>
    <mergeCell ref="AA54:AB54"/>
    <mergeCell ref="A45:A54"/>
    <mergeCell ref="C45:D45"/>
    <mergeCell ref="R45:R54"/>
    <mergeCell ref="AA45:AB45"/>
    <mergeCell ref="AA50:AB50"/>
    <mergeCell ref="C51:D51"/>
    <mergeCell ref="AA51:AB51"/>
    <mergeCell ref="C52:D52"/>
    <mergeCell ref="AA52:AB52"/>
    <mergeCell ref="C53:D53"/>
    <mergeCell ref="AA53:AB53"/>
    <mergeCell ref="AG36:AG44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A42:AB42"/>
    <mergeCell ref="C43:D43"/>
    <mergeCell ref="AA43:AB43"/>
    <mergeCell ref="C44:D44"/>
    <mergeCell ref="AA44:AB44"/>
    <mergeCell ref="A27:A35"/>
    <mergeCell ref="C27:D27"/>
    <mergeCell ref="R27:R35"/>
    <mergeCell ref="AA27:AB27"/>
    <mergeCell ref="C34:D34"/>
    <mergeCell ref="AA34:AB34"/>
    <mergeCell ref="C35:D35"/>
    <mergeCell ref="AA35:AB35"/>
    <mergeCell ref="A36:A44"/>
    <mergeCell ref="C36:D36"/>
    <mergeCell ref="R36:R44"/>
    <mergeCell ref="AA36:AB36"/>
    <mergeCell ref="AA41:AB41"/>
    <mergeCell ref="C42:D42"/>
    <mergeCell ref="AG27:AG35"/>
    <mergeCell ref="C28:D28"/>
    <mergeCell ref="AA28:AB28"/>
    <mergeCell ref="C29:D29"/>
    <mergeCell ref="AA29:AB29"/>
    <mergeCell ref="C30:D30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30:AB30"/>
    <mergeCell ref="C31:D31"/>
    <mergeCell ref="AA31:AB31"/>
    <mergeCell ref="C32:D32"/>
    <mergeCell ref="AA32:AB32"/>
    <mergeCell ref="C33:D33"/>
    <mergeCell ref="AA33:AB33"/>
    <mergeCell ref="A20:A26"/>
    <mergeCell ref="C20:D20"/>
    <mergeCell ref="R20:R26"/>
    <mergeCell ref="AA20:AB20"/>
    <mergeCell ref="AA25:AB25"/>
    <mergeCell ref="C26:D26"/>
    <mergeCell ref="AA26:AB26"/>
    <mergeCell ref="A15:A19"/>
    <mergeCell ref="C15:D15"/>
    <mergeCell ref="R15:R19"/>
    <mergeCell ref="AA15:AB15"/>
    <mergeCell ref="AG15:AG19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7">
    <cfRule type="cellIs" dxfId="144" priority="1" operator="greaterThan">
      <formula>0</formula>
    </cfRule>
  </conditionalFormatting>
  <conditionalFormatting sqref="P5:P77">
    <cfRule type="cellIs" dxfId="143" priority="4" operator="lessThan">
      <formula>0</formula>
    </cfRule>
  </conditionalFormatting>
  <conditionalFormatting sqref="Q5:Q77">
    <cfRule type="cellIs" dxfId="142" priority="2" operator="greaterThan">
      <formula>1</formula>
    </cfRule>
    <cfRule type="cellIs" dxfId="141" priority="3" operator="lessThan">
      <formula>0.8</formula>
    </cfRule>
  </conditionalFormatting>
  <conditionalFormatting sqref="R5:R11 AG5:AG11">
    <cfRule type="cellIs" dxfId="140" priority="75" operator="lessThan">
      <formula>0.8</formula>
    </cfRule>
  </conditionalFormatting>
  <conditionalFormatting sqref="AE5:AE77">
    <cfRule type="cellIs" dxfId="139" priority="17" operator="lessThan">
      <formula>0</formula>
    </cfRule>
  </conditionalFormatting>
  <conditionalFormatting sqref="AF5:AF77">
    <cfRule type="cellIs" dxfId="138" priority="15" operator="greaterThan">
      <formula>1</formula>
    </cfRule>
    <cfRule type="cellIs" dxfId="137" priority="16" operator="lessThan">
      <formula>0.8</formula>
    </cfRule>
  </conditionalFormatting>
  <conditionalFormatting sqref="AG15:AG68 R15:R77">
    <cfRule type="cellIs" dxfId="136" priority="5" operator="lessThan">
      <formula>0.8</formula>
    </cfRule>
  </conditionalFormatting>
  <dataValidations count="1">
    <dataValidation type="list" allowBlank="1" showInputMessage="1" showErrorMessage="1" sqref="AB10 AA5:AB9 AB12:AB65 AA10:AA68 AA69:AB77" xr:uid="{00000000-0002-0000-1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Q32"/>
  <sheetViews>
    <sheetView zoomScale="85" zoomScaleNormal="85" workbookViewId="0"/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1258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135</v>
      </c>
      <c r="C3" s="151" t="str">
        <f>TEXT('0315 4度C'!A2,"yyyy.mm.ddaaaa")</f>
        <v>2026.03.15星期日</v>
      </c>
      <c r="D3" s="152"/>
      <c r="E3" s="45" t="s">
        <v>136</v>
      </c>
      <c r="F3" s="153">
        <f>'0315 4度C'!D1</f>
        <v>188953</v>
      </c>
      <c r="G3" s="154"/>
      <c r="H3" s="45" t="s">
        <v>137</v>
      </c>
      <c r="I3" s="155">
        <f>'0315 4度C'!F1</f>
        <v>6233001.9799999995</v>
      </c>
      <c r="J3" s="156"/>
      <c r="K3" s="46"/>
      <c r="L3" s="47"/>
      <c r="M3" s="47"/>
      <c r="N3" s="47"/>
    </row>
    <row r="4" spans="2:17" ht="28.5" customHeight="1">
      <c r="B4" s="157" t="s">
        <v>138</v>
      </c>
      <c r="C4" s="143" t="s">
        <v>1262</v>
      </c>
      <c r="D4" s="144"/>
      <c r="E4" s="160" t="s">
        <v>140</v>
      </c>
      <c r="F4" s="161"/>
      <c r="G4" s="160" t="s">
        <v>141</v>
      </c>
      <c r="H4" s="161"/>
      <c r="I4" s="160" t="s">
        <v>142</v>
      </c>
      <c r="J4" s="161"/>
      <c r="K4" s="141" t="s">
        <v>143</v>
      </c>
      <c r="L4" s="142"/>
      <c r="M4" s="142" t="s">
        <v>144</v>
      </c>
      <c r="N4" s="142"/>
    </row>
    <row r="5" spans="2:17" ht="28.5" customHeight="1">
      <c r="B5" s="158"/>
      <c r="C5" s="143" t="s">
        <v>145</v>
      </c>
      <c r="D5" s="144"/>
      <c r="E5" s="143" t="s">
        <v>146</v>
      </c>
      <c r="F5" s="144"/>
      <c r="G5" s="145" t="s">
        <v>147</v>
      </c>
      <c r="H5" s="146"/>
      <c r="I5" s="147" t="s">
        <v>148</v>
      </c>
      <c r="J5" s="148"/>
      <c r="K5" s="48" t="s">
        <v>149</v>
      </c>
      <c r="L5" s="49" t="s">
        <v>150</v>
      </c>
      <c r="M5" s="48" t="s">
        <v>149</v>
      </c>
      <c r="N5" s="49" t="s">
        <v>152</v>
      </c>
    </row>
    <row r="6" spans="2:17" ht="28.5" customHeight="1">
      <c r="B6" s="158"/>
      <c r="C6" s="143" t="s">
        <v>153</v>
      </c>
      <c r="D6" s="144"/>
      <c r="E6" s="135">
        <f>AVERAGE(D13:M13)</f>
        <v>151.95765886201963</v>
      </c>
      <c r="F6" s="136">
        <f>AVERAGE(D31:O31,D13:J13)</f>
        <v>155.64777064676704</v>
      </c>
      <c r="G6" s="137">
        <f>AVERAGE(D13:J13)</f>
        <v>155.64777064676704</v>
      </c>
      <c r="H6" s="138"/>
      <c r="I6" s="137">
        <f>AVERAGE(K13:M13)</f>
        <v>143.34739803094234</v>
      </c>
      <c r="J6" s="138"/>
      <c r="K6" s="139">
        <f>'0315 4度C'!Y2</f>
        <v>0</v>
      </c>
      <c r="L6" s="124">
        <f>'0315 4度C'!Z2</f>
        <v>0</v>
      </c>
      <c r="M6" s="140">
        <f>'0315 4度C'!AC2</f>
        <v>66</v>
      </c>
      <c r="N6" s="124">
        <f>'0315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145.46054046889736</v>
      </c>
      <c r="F7" s="128">
        <f>AVERAGE(D32:O32,D14:J14)</f>
        <v>149.01630272599914</v>
      </c>
      <c r="G7" s="129">
        <f>AVERAGE(D14:J14)</f>
        <v>149.01630272599914</v>
      </c>
      <c r="H7" s="130"/>
      <c r="I7" s="129">
        <f>AVERAGE(K14:M14)</f>
        <v>137.16376186899313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0.95697885126921967</v>
      </c>
      <c r="F8" s="132">
        <f>AVERAGE(D15:J15,D33:O33)</f>
        <v>0.95703171806037202</v>
      </c>
      <c r="G8" s="133">
        <f>AVERAGE(D15:J15)</f>
        <v>0.95703171806037202</v>
      </c>
      <c r="H8" s="134"/>
      <c r="I8" s="133">
        <f>AVERAGE(K15:M15)</f>
        <v>0.95685549542319748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1273</v>
      </c>
      <c r="N9" s="47"/>
      <c r="O9" s="47"/>
      <c r="P9" s="47"/>
      <c r="Q9" s="47"/>
    </row>
    <row r="10" spans="2:17" ht="30" customHeight="1">
      <c r="B10" s="107" t="s">
        <v>1274</v>
      </c>
      <c r="C10" s="108"/>
      <c r="D10" s="109" t="s">
        <v>158</v>
      </c>
      <c r="E10" s="110"/>
      <c r="F10" s="110"/>
      <c r="G10" s="110"/>
      <c r="H10" s="110"/>
      <c r="I10" s="110"/>
      <c r="J10" s="111"/>
      <c r="K10" s="112" t="s">
        <v>159</v>
      </c>
      <c r="L10" s="113"/>
      <c r="M10" s="114"/>
      <c r="P10" s="53"/>
      <c r="Q10" s="53"/>
    </row>
    <row r="11" spans="2:17" ht="17.25" customHeight="1">
      <c r="B11" s="115" t="s">
        <v>1277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172</v>
      </c>
      <c r="D13" s="61">
        <f>SUMIFS('0315 4度C'!$K:$K,'0315 4度C'!$A:$A,"新豐6線",'0315 4度C'!$B:$B,"平均")</f>
        <v>113.63636363636363</v>
      </c>
      <c r="E13" s="62">
        <f>SUMIFS('0315 4度C'!$K:$K,'0315 4度C'!$A:$A,"新豐2線",'0315 4度C'!$B:$B,"平均")</f>
        <v>84.905660377358487</v>
      </c>
      <c r="F13" s="63">
        <f>SUMIFS('0315 4度C'!$K:$K,'0315 4度C'!$A:$A,"新豐5線",'0315 4度C'!$B:$B,"平均")</f>
        <v>107.95454545454544</v>
      </c>
      <c r="G13" s="63">
        <f>SUMIFS('0315 4度C'!$K:$K,'0315 4度C'!$A:$A,"新豐7線",'0315 4度C'!$B:$B,"平均")</f>
        <v>122.22222222222221</v>
      </c>
      <c r="H13" s="63">
        <f>SUMIFS('0315 4度C'!$K:$K,'0315 4度C'!$A:$A,"新豐3線",'0315 4度C'!$B:$B,"平均")</f>
        <v>319.14893617021278</v>
      </c>
      <c r="I13" s="63">
        <f>SUMIFS('0315 4度C'!$K:$K,'0315 4度C'!$A:$A,"新豐1線",'0315 4度C'!$B:$B,"平均")</f>
        <v>104.16666666666666</v>
      </c>
      <c r="J13" s="64">
        <f>SUMIFS('0315 4度C'!$K:$K,'0315 4度C'!$A:$A,"新豐10線",'0315 4度C'!$B:$B,"平均")</f>
        <v>237.5</v>
      </c>
      <c r="K13" s="65">
        <f>SUMIFS('0315 4度C'!$K:$K,'0315 4度C'!$A:$A,"新豐8線",'0315 4度C'!$B:$B,"平均")</f>
        <v>133.33333333333334</v>
      </c>
      <c r="L13" s="66">
        <f>SUMIFS('0315 4度C'!$K:$K,'0315 4度C'!$A:$A,"新豐9線",'0315 4度C'!$B:$B,"平均")</f>
        <v>136.70886075949366</v>
      </c>
      <c r="M13" s="64">
        <f>SUMIFS('0315 4度C'!$K:$K,'0315 4度C'!$A:$A,"新豐4線",'0315 4度C'!$B:$B,"平均")</f>
        <v>160</v>
      </c>
    </row>
    <row r="14" spans="2:17" ht="39.6" customHeight="1">
      <c r="B14" s="120"/>
      <c r="C14" s="67" t="s">
        <v>173</v>
      </c>
      <c r="D14" s="68">
        <f>SUMIFS('0315 4度C'!$N:$N,'0315 4度C'!$A:$A,"新豐6線",'0315 4度C'!$B:$B,"平均")</f>
        <v>110.32136207718855</v>
      </c>
      <c r="E14" s="69">
        <f>SUMIFS('0315 4度C'!$N:$N,'0315 4度C'!$A:$A,"新豐2線",'0315 4度C'!$B:$B,"平均")</f>
        <v>81.115252407681197</v>
      </c>
      <c r="F14" s="69">
        <f>SUMIFS('0315 4度C'!$N:$N,'0315 4度C'!$A:$A,"新豐5線",'0315 4度C'!$B:$B,"平均")</f>
        <v>103.66654747023982</v>
      </c>
      <c r="G14" s="69">
        <f>SUMIFS('0315 4度C'!$N:$N,'0315 4度C'!$A:$A,"新豐7線",'0315 4度C'!$B:$B,"平均")</f>
        <v>117.10215243444078</v>
      </c>
      <c r="H14" s="69">
        <f>SUMIFS('0315 4度C'!$N:$N,'0315 4度C'!$A:$A,"新豐3線",'0315 4度C'!$B:$B,"平均")</f>
        <v>306.4578001748306</v>
      </c>
      <c r="I14" s="69">
        <f>SUMIFS('0315 4度C'!$N:$N,'0315 4度C'!$A:$A,"新豐1線",'0315 4度C'!$B:$B,"平均")</f>
        <v>98.025262402585213</v>
      </c>
      <c r="J14" s="70">
        <f>SUMIFS('0315 4度C'!$N:$N,'0315 4度C'!$A:$A,"新豐10線",'0315 4度C'!$B:$B,"平均")</f>
        <v>226.42574211502779</v>
      </c>
      <c r="K14" s="71">
        <f>SUMIFS('0315 4度C'!$N:$N,'0315 4度C'!$A:$A,"新豐8線",'0315 4度C'!$B:$B,"平均")</f>
        <v>127.55488097885581</v>
      </c>
      <c r="L14" s="72">
        <f>SUMIFS('0315 4度C'!$N:$N,'0315 4度C'!$A:$A,"新豐9線",'0315 4度C'!$B:$B,"平均")</f>
        <v>130.82307652399459</v>
      </c>
      <c r="M14" s="70">
        <f>SUMIFS('0315 4度C'!$N:$N,'0315 4度C'!$A:$A,"新豐4線",'0315 4度C'!$B:$B,"平均")</f>
        <v>153.11332810412898</v>
      </c>
    </row>
    <row r="15" spans="2:17" ht="40.15" customHeight="1">
      <c r="B15" s="121"/>
      <c r="C15" s="73" t="s">
        <v>174</v>
      </c>
      <c r="D15" s="74">
        <f t="shared" ref="D15:M15" si="0">D14/D13</f>
        <v>0.97082798627925937</v>
      </c>
      <c r="E15" s="75">
        <f t="shared" si="0"/>
        <v>0.95535741724602308</v>
      </c>
      <c r="F15" s="75">
        <f t="shared" si="0"/>
        <v>0.96027959761906378</v>
      </c>
      <c r="G15" s="75">
        <f t="shared" si="0"/>
        <v>0.95810851991815194</v>
      </c>
      <c r="H15" s="75">
        <f t="shared" si="0"/>
        <v>0.96023444054780249</v>
      </c>
      <c r="I15" s="75">
        <f t="shared" si="0"/>
        <v>0.94104251906481817</v>
      </c>
      <c r="J15" s="76">
        <f t="shared" si="0"/>
        <v>0.95337154574748539</v>
      </c>
      <c r="K15" s="74">
        <f t="shared" si="0"/>
        <v>0.95666160734141847</v>
      </c>
      <c r="L15" s="75">
        <f t="shared" si="0"/>
        <v>0.95694657827736784</v>
      </c>
      <c r="M15" s="76">
        <f t="shared" si="0"/>
        <v>0.95695830065080612</v>
      </c>
    </row>
    <row r="16" spans="2:17" ht="17.25" customHeight="1">
      <c r="B16" s="122" t="s">
        <v>175</v>
      </c>
      <c r="C16" s="77" t="s">
        <v>176</v>
      </c>
      <c r="D16" s="78">
        <f>VLOOKUP("新豐6線",'0315 4度C'!$A:$T,19,0)</f>
        <v>0.70833333333333337</v>
      </c>
      <c r="E16" s="79">
        <f>VLOOKUP("新豐2線",'0315 4度C'!$A:$T,19,0)</f>
        <v>0.20833333333333334</v>
      </c>
      <c r="F16" s="79">
        <f>VLOOKUP("新豐5線",'0315 4度C'!$A:$T,19,0)</f>
        <v>0.20833333333333334</v>
      </c>
      <c r="G16" s="79">
        <f>VLOOKUP("新豐7線",'0315 4度C'!$A:$T,19,0)</f>
        <v>0.20833333333333334</v>
      </c>
      <c r="H16" s="79">
        <f>VLOOKUP("新豐3線",'0315 4度C'!$A:$T,19,0)</f>
        <v>0.20833333333333334</v>
      </c>
      <c r="I16" s="79">
        <f>VLOOKUP("新豐1線",'0315 4度C'!$A:$T,19,0)</f>
        <v>0.20833333333333334</v>
      </c>
      <c r="J16" s="80">
        <f>VLOOKUP("新豐10線",'0315 4度C'!$A:$T,19,0)</f>
        <v>0.20833333333333334</v>
      </c>
      <c r="K16" s="81">
        <f>VLOOKUP("新豐8線",'0315 4度C'!$A:$T,19,0)</f>
        <v>0.125</v>
      </c>
      <c r="L16" s="82">
        <f>VLOOKUP("新豐9線",'0315 4度C'!$A:$T,19,0)</f>
        <v>0.125</v>
      </c>
      <c r="M16" s="83">
        <f>VLOOKUP("新豐4線",'0315 4度C'!$A:$T,19,0)</f>
        <v>0.125</v>
      </c>
    </row>
    <row r="17" spans="2:13" ht="17.25" customHeight="1">
      <c r="B17" s="123"/>
      <c r="C17" s="77" t="s">
        <v>177</v>
      </c>
      <c r="D17" s="81">
        <f>LOOKUP(2,1/(('0315 4度C'!$A:$A="新豐6線")*('0315 4度C'!$T:$T&lt;&gt;"")),'0315 4度C'!$T:$T)</f>
        <v>0.86180555555555538</v>
      </c>
      <c r="E17" s="79">
        <f>LOOKUP(2,1/(('0315 4度C'!$A:$A="新豐2線")*('0315 4度C'!$T:$T&lt;&gt;"")),'0315 4度C'!$T:$T)</f>
        <v>0.63472222222222219</v>
      </c>
      <c r="F17" s="79">
        <f>LOOKUP(2,1/(('0315 4度C'!$A:$A="新豐5線")*('0315 4度C'!$T:$T&lt;&gt;"")),'0315 4度C'!$T:$T)</f>
        <v>0.90694444444444444</v>
      </c>
      <c r="G17" s="79">
        <f>LOOKUP(2,1/(('0315 4度C'!$A:$A="新豐7線")*('0315 4度C'!$T:$T&lt;&gt;"")),'0315 4度C'!$T:$T)</f>
        <v>0.91111111111111098</v>
      </c>
      <c r="H17" s="79">
        <f>LOOKUP(2,1/(('0315 4度C'!$A:$A="新豐3線")*('0315 4度C'!$T:$T&lt;&gt;"")),'0315 4度C'!$T:$T)</f>
        <v>0.71666666666666667</v>
      </c>
      <c r="I17" s="79">
        <f>LOOKUP(2,1/(('0315 4度C'!$A:$A="新豐1線")*('0315 4度C'!$T:$T&lt;&gt;"")),'0315 4度C'!$T:$T)</f>
        <v>0.92013888888888873</v>
      </c>
      <c r="J17" s="80">
        <f>LOOKUP(2,1/(('0315 4度C'!$A:$A="新豐10線")*('0315 4度C'!$T:$T&lt;&gt;"")),'0315 4度C'!$T:$T)</f>
        <v>0.50416666666666665</v>
      </c>
      <c r="K17" s="78">
        <f>LOOKUP(2,1/(('0315 4度C'!$A:$A="新豐8線")*('0315 4度C'!$T:$T&lt;&gt;"")),'0315 4度C'!$T:$T)</f>
        <v>0.72499999999999987</v>
      </c>
      <c r="L17" s="79">
        <f>LOOKUP(2,1/(('0315 4度C'!$A:$A="新豐9線")*('0315 4度C'!$T:$T&lt;&gt;"")),'0315 4度C'!$T:$T)</f>
        <v>0.78124999999999989</v>
      </c>
      <c r="M17" s="80">
        <f>LOOKUP(2,1/(('0315 4度C'!$A:$A="新豐4線")*('0315 4度C'!$T:$T&lt;&gt;"")),'0315 4度C'!$T:$T)</f>
        <v>0.71805555555555545</v>
      </c>
    </row>
    <row r="18" spans="2:13" ht="17.25" customHeight="1">
      <c r="B18" s="101" t="s">
        <v>1284</v>
      </c>
      <c r="C18" s="84" t="s">
        <v>41</v>
      </c>
      <c r="D18" s="85">
        <f>SUMIFS('0315 4度C'!$Y:$Y,'0315 4度C'!$A:$A,"新豐6線",'0315 4度C'!$B:$B,"平均")</f>
        <v>0</v>
      </c>
      <c r="E18" s="86">
        <f>SUMIFS('0315 4度C'!$Y:$Y,'0315 4度C'!$A:$A,"新豐2線",'0315 4度C'!$B:$B,"平均")</f>
        <v>0</v>
      </c>
      <c r="F18" s="86">
        <f>SUMIFS('0315 4度C'!$Y:$Y,'0315 4度C'!$A:$A,"新豐5線",'0315 4度C'!$B:$B,"平均")</f>
        <v>0</v>
      </c>
      <c r="G18" s="86">
        <f>SUMIFS('0315 4度C'!$Y:$Y,'0315 4度C'!$A:$A,"新豐7線",'0315 4度C'!$B:$B,"平均")</f>
        <v>0</v>
      </c>
      <c r="H18" s="86">
        <f>SUMIFS('0315 4度C'!$Y:$Y,'0315 4度C'!$A:$A,"新豐3線",'0315 4度C'!$B:$B,"平均")</f>
        <v>0</v>
      </c>
      <c r="I18" s="86">
        <f>SUMIFS('0315 4度C'!$Y:$Y,'0315 4度C'!$A:$A,"新豐1線",'0315 4度C'!$B:$B,"平均")</f>
        <v>0</v>
      </c>
      <c r="J18" s="87">
        <f>SUMIFS('0315 4度C'!$Y:$Y,'0315 4度C'!$A:$A,"新豐10線",'0315 4度C'!$B:$B,"平均")</f>
        <v>0</v>
      </c>
      <c r="K18" s="88">
        <f>SUMIFS('0315 4度C'!$Y:$Y,'0315 4度C'!$A:$A,"新豐8線",'0315 4度C'!$B:$B,"平均")</f>
        <v>0</v>
      </c>
      <c r="L18" s="86">
        <f>SUMIFS('0315 4度C'!$Y:$Y,'0315 4度C'!$A:$A,"新豐9線",'0315 4度C'!$B:$B,"平均")</f>
        <v>0</v>
      </c>
      <c r="M18" s="87">
        <f>SUMIFS('0315 4度C'!$Y:$Y,'0315 4度C'!$A:$A,"新豐4線",'0315 4度C'!$B:$B,"平均")</f>
        <v>0</v>
      </c>
    </row>
    <row r="19" spans="2:13" ht="17.25" customHeight="1">
      <c r="B19" s="102"/>
      <c r="C19" s="84" t="s">
        <v>1285</v>
      </c>
      <c r="D19" s="85">
        <f>SUMIFS('0315 4度C'!$Z:$Z,'0315 4度C'!$A:$A,"新豐6線",'0315 4度C'!$B:$B,"平均")</f>
        <v>0</v>
      </c>
      <c r="E19" s="86">
        <f>SUMIFS('0315 4度C'!$Z:$Z,'0315 4度C'!$A:$A,"新豐2線",'0315 4度C'!$B:$B,"平均")</f>
        <v>0</v>
      </c>
      <c r="F19" s="86">
        <f>SUMIFS('0315 4度C'!$Z:$Z,'0315 4度C'!$A:$A,"新豐5線",'0315 4度C'!$B:$B,"平均")</f>
        <v>0</v>
      </c>
      <c r="G19" s="86">
        <f>SUMIFS('0315 4度C'!$Z:$Z,'0315 4度C'!$A:$A,"新豐7線",'0315 4度C'!$B:$B,"平均")</f>
        <v>0</v>
      </c>
      <c r="H19" s="86">
        <f>SUMIFS('0315 4度C'!$Z:$Z,'0315 4度C'!$A:$A,"新豐3線",'0315 4度C'!$B:$B,"平均")</f>
        <v>0</v>
      </c>
      <c r="I19" s="86">
        <f>SUMIFS('0315 4度C'!$Z:$Z,'0315 4度C'!$A:$A,"新豐1線",'0315 4度C'!$B:$B,"平均")</f>
        <v>0</v>
      </c>
      <c r="J19" s="87">
        <f>SUMIFS('0315 4度C'!$Z:$Z,'0315 4度C'!$A:$A,"新豐10線",'0315 4度C'!$B:$B,"平均")</f>
        <v>0</v>
      </c>
      <c r="K19" s="88">
        <f>SUMIFS('0315 4度C'!$Z:$Z,'0315 4度C'!$A:$A,"新豐8線",'0315 4度C'!$B:$B,"平均")</f>
        <v>0</v>
      </c>
      <c r="L19" s="86">
        <f>SUMIFS('0315 4度C'!$Z:$Z,'0315 4度C'!$A:$A,"新豐9線",'0315 4度C'!$B:$B,"平均")</f>
        <v>0</v>
      </c>
      <c r="M19" s="87">
        <f>SUMIFS('0315 4度C'!$Z:$Z,'0315 4度C'!$A:$A,"新豐4線",'0315 4度C'!$B:$B,"平均")</f>
        <v>0</v>
      </c>
    </row>
    <row r="20" spans="2:13" ht="17.25" customHeight="1">
      <c r="B20" s="101" t="s">
        <v>181</v>
      </c>
      <c r="C20" s="84" t="s">
        <v>1287</v>
      </c>
      <c r="D20" s="85">
        <f>SUMIFS('0315 4度C'!$AC:$AC,'0315 4度C'!$A:$A,"新豐6線",'0315 4度C'!$B:$B,"平均")</f>
        <v>5</v>
      </c>
      <c r="E20" s="86">
        <f>SUMIFS('0315 4度C'!$AC:$AC,'0315 4度C'!$A:$A,"新豐2線",'0315 4度C'!$B:$B,"平均")</f>
        <v>3</v>
      </c>
      <c r="F20" s="86">
        <f>SUMIFS('0315 4度C'!$AC:$AC,'0315 4度C'!$A:$A,"新豐5線",'0315 4度C'!$B:$B,"平均")</f>
        <v>5</v>
      </c>
      <c r="G20" s="86">
        <f>SUMIFS('0315 4度C'!$AC:$AC,'0315 4度C'!$A:$A,"新豐7線",'0315 4度C'!$B:$B,"平均")</f>
        <v>6</v>
      </c>
      <c r="H20" s="86">
        <f>SUMIFS('0315 4度C'!$AC:$AC,'0315 4度C'!$A:$A,"新豐3線",'0315 4度C'!$B:$B,"平均")</f>
        <v>10</v>
      </c>
      <c r="I20" s="86">
        <f>SUMIFS('0315 4度C'!$AC:$AC,'0315 4度C'!$A:$A,"新豐1線",'0315 4度C'!$B:$B,"平均")</f>
        <v>9</v>
      </c>
      <c r="J20" s="87">
        <f>SUMIFS('0315 4度C'!$AC:$AC,'0315 4度C'!$A:$A,"新豐10線",'0315 4度C'!$B:$B,"平均")</f>
        <v>4</v>
      </c>
      <c r="K20" s="88">
        <f>SUMIFS('0315 4度C'!$AC:$AC,'0315 4度C'!$A:$A,"新豐8線",'0315 4度C'!$B:$B,"平均")</f>
        <v>8</v>
      </c>
      <c r="L20" s="86">
        <f>SUMIFS('0315 4度C'!$AC:$AC,'0315 4度C'!$A:$A,"新豐9線",'0315 4度C'!$B:$B,"平均")</f>
        <v>9</v>
      </c>
      <c r="M20" s="87">
        <f>SUMIFS('0315 4度C'!$AC:$AC,'0315 4度C'!$A:$A,"新豐4線",'0315 4度C'!$B:$B,"平均")</f>
        <v>7</v>
      </c>
    </row>
    <row r="21" spans="2:13" ht="17.25" customHeight="1">
      <c r="B21" s="102"/>
      <c r="C21" s="84" t="s">
        <v>182</v>
      </c>
      <c r="D21" s="85">
        <f>SUMIFS('0315 4度C'!$AD:$AD,'0315 4度C'!$A:$A,"新豐6線",'0315 4度C'!$B:$B,"平均")</f>
        <v>0</v>
      </c>
      <c r="E21" s="86">
        <f>SUMIFS('0315 4度C'!$AD:$AD,'0315 4度C'!$A:$A,"新豐2線",'0315 4度C'!$B:$B,"平均")</f>
        <v>0</v>
      </c>
      <c r="F21" s="86">
        <f>SUMIFS('0315 4度C'!$AD:$AD,'0315 4度C'!$A:$A,"新豐5線",'0315 4度C'!$B:$B,"平均")</f>
        <v>0</v>
      </c>
      <c r="G21" s="86">
        <f>SUMIFS('0315 4度C'!$AD:$AD,'0315 4度C'!$A:$A,"新豐7線",'0315 4度C'!$B:$B,"平均")</f>
        <v>0</v>
      </c>
      <c r="H21" s="86">
        <f>SUMIFS('0315 4度C'!$AD:$AD,'0315 4度C'!$A:$A,"新豐3線",'0315 4度C'!$B:$B,"平均")</f>
        <v>0</v>
      </c>
      <c r="I21" s="86">
        <f>SUMIFS('0315 4度C'!$AD:$AD,'0315 4度C'!$A:$A,"新豐1線",'0315 4度C'!$B:$B,"平均")</f>
        <v>0</v>
      </c>
      <c r="J21" s="87">
        <f>SUMIFS('0315 4度C'!$AD:$AD,'0315 4度C'!$A:$A,"新豐10線",'0315 4度C'!$B:$B,"平均")</f>
        <v>0</v>
      </c>
      <c r="K21" s="88">
        <f>SUMIFS('0315 4度C'!$AD:$AD,'0315 4度C'!$A:$A,"新豐8線",'0315 4度C'!$B:$B,"平均")</f>
        <v>0</v>
      </c>
      <c r="L21" s="86">
        <f>SUMIFS('0315 4度C'!$AD:$AD,'0315 4度C'!$A:$A,"新豐9線",'0315 4度C'!$B:$B,"平均")</f>
        <v>0</v>
      </c>
      <c r="M21" s="87">
        <f>SUMIFS('0315 4度C'!$AD:$AD,'0315 4度C'!$A:$A,"新豐4線",'0315 4度C'!$B:$B,"平均")</f>
        <v>0</v>
      </c>
    </row>
    <row r="22" spans="2:13" ht="17.25" customHeight="1">
      <c r="B22" s="103" t="s">
        <v>183</v>
      </c>
      <c r="C22" s="104"/>
      <c r="D22" s="89">
        <f>SUMIFS('0315 4度C'!$I:$I,'0315 4度C'!$A:$A,"新豐6線",'0315 4度C'!$B:$B,"平均")</f>
        <v>17.600000000000001</v>
      </c>
      <c r="E22" s="90">
        <f>SUMIFS('0315 4度C'!$I:$I,'0315 4度C'!$A:$A,"新豐2線",'0315 4度C'!$B:$B,"平均")</f>
        <v>17.666666666666668</v>
      </c>
      <c r="F22" s="90">
        <f>SUMIFS('0315 4度C'!$I:$I,'0315 4度C'!$A:$A,"新豐5線",'0315 4度C'!$B:$B,"平均")</f>
        <v>17.600000000000001</v>
      </c>
      <c r="G22" s="90">
        <f>SUMIFS('0315 4度C'!$I:$I,'0315 4度C'!$A:$A,"新豐7線",'0315 4度C'!$B:$B,"平均")</f>
        <v>15</v>
      </c>
      <c r="H22" s="90">
        <f>SUMIFS('0315 4度C'!$I:$I,'0315 4度C'!$A:$A,"新豐3線",'0315 4度C'!$B:$B,"平均")</f>
        <v>9.4</v>
      </c>
      <c r="I22" s="90">
        <f>SUMIFS('0315 4度C'!$I:$I,'0315 4度C'!$A:$A,"新豐1線",'0315 4度C'!$B:$B,"平均")</f>
        <v>18.666666666666668</v>
      </c>
      <c r="J22" s="91">
        <f>SUMIFS('0315 4度C'!$I:$I,'0315 4度C'!$A:$A,"新豐10線",'0315 4度C'!$B:$B,"平均")</f>
        <v>10</v>
      </c>
      <c r="K22" s="89">
        <f>SUMIFS('0315 4度C'!$I:$I,'0315 4度C'!$A:$A,"新豐8線",'0315 4度C'!$B:$B,"平均")</f>
        <v>18</v>
      </c>
      <c r="L22" s="90">
        <f>SUMIFS('0315 4度C'!$I:$I,'0315 4度C'!$A:$A,"新豐9線",'0315 4度C'!$B:$B,"平均")</f>
        <v>17.555555555555557</v>
      </c>
      <c r="M22" s="91">
        <f>SUMIFS('0315 4度C'!$I:$I,'0315 4度C'!$A:$A,"新豐4線",'0315 4度C'!$B:$B,"平均")</f>
        <v>15</v>
      </c>
    </row>
    <row r="23" spans="2:13" ht="17.25" customHeight="1">
      <c r="B23" s="103" t="s">
        <v>184</v>
      </c>
      <c r="C23" s="104"/>
      <c r="D23" s="92" t="s">
        <v>185</v>
      </c>
      <c r="E23" s="93" t="s">
        <v>186</v>
      </c>
      <c r="F23" s="93" t="s">
        <v>187</v>
      </c>
      <c r="G23" s="93" t="s">
        <v>187</v>
      </c>
      <c r="H23" s="93" t="s">
        <v>188</v>
      </c>
      <c r="I23" s="93" t="s">
        <v>185</v>
      </c>
      <c r="J23" s="94" t="s">
        <v>188</v>
      </c>
      <c r="K23" s="92" t="s">
        <v>189</v>
      </c>
      <c r="L23" s="93" t="s">
        <v>189</v>
      </c>
      <c r="M23" s="94" t="s">
        <v>189</v>
      </c>
    </row>
    <row r="24" spans="2:13" ht="17.25" customHeight="1">
      <c r="B24" s="103" t="s">
        <v>190</v>
      </c>
      <c r="C24" s="104"/>
      <c r="D24" s="92"/>
      <c r="E24" s="93"/>
      <c r="F24" s="93" t="s">
        <v>191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192</v>
      </c>
      <c r="C25" s="106"/>
      <c r="D25" s="95"/>
      <c r="E25" s="96" t="s">
        <v>193</v>
      </c>
      <c r="F25" s="99" t="s">
        <v>194</v>
      </c>
      <c r="G25" s="100"/>
      <c r="H25" s="96" t="s">
        <v>195</v>
      </c>
      <c r="I25" s="96" t="s">
        <v>196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G81"/>
  <sheetViews>
    <sheetView topLeftCell="C1" zoomScale="80" zoomScaleNormal="80" workbookViewId="0">
      <pane ySplit="4" topLeftCell="A15" activePane="bottomLeft" state="frozen"/>
      <selection pane="bottomLeft" activeCell="T26" sqref="T26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1331</v>
      </c>
      <c r="B1" s="1"/>
      <c r="C1" s="2" t="s">
        <v>1332</v>
      </c>
      <c r="D1" s="3">
        <f>SUM(F5:F80)</f>
        <v>188953</v>
      </c>
      <c r="E1" s="4" t="s">
        <v>1333</v>
      </c>
      <c r="F1" s="1">
        <f>SUM(G5:G80)</f>
        <v>6233001.9799999995</v>
      </c>
      <c r="G1" s="1" t="s">
        <v>1334</v>
      </c>
      <c r="H1" s="5">
        <f>L10+L14+L57+L67+L20+L72+L36+L46+L27+L80</f>
        <v>156.48888888888888</v>
      </c>
      <c r="I1" s="212" t="s">
        <v>1335</v>
      </c>
      <c r="J1" s="212"/>
      <c r="K1" s="212"/>
      <c r="L1" s="212" t="s">
        <v>1336</v>
      </c>
      <c r="M1" s="212"/>
      <c r="N1" s="212"/>
      <c r="O1" s="212" t="s">
        <v>1337</v>
      </c>
      <c r="P1" s="212"/>
      <c r="Q1" s="212"/>
      <c r="R1" s="212"/>
      <c r="S1" s="212" t="s">
        <v>1338</v>
      </c>
      <c r="T1" s="212"/>
      <c r="U1" s="212"/>
      <c r="V1" s="212"/>
      <c r="W1" s="212"/>
      <c r="X1" s="212"/>
      <c r="Y1" s="6" t="s">
        <v>1339</v>
      </c>
      <c r="Z1" s="7" t="s">
        <v>1340</v>
      </c>
      <c r="AA1" s="213" t="s">
        <v>1341</v>
      </c>
      <c r="AB1" s="213"/>
      <c r="AC1" s="42" t="s">
        <v>1339</v>
      </c>
      <c r="AD1" s="7" t="s">
        <v>1342</v>
      </c>
      <c r="AE1" s="212" t="s">
        <v>1343</v>
      </c>
      <c r="AF1" s="214"/>
      <c r="AG1" s="214"/>
    </row>
    <row r="2" spans="1:33" ht="26.25" customHeight="1">
      <c r="A2" s="33">
        <v>46096</v>
      </c>
      <c r="B2" s="34" t="s">
        <v>77</v>
      </c>
      <c r="C2" s="2" t="s">
        <v>1344</v>
      </c>
      <c r="D2" s="9">
        <f>AVERAGE(N10,N14,N57,N67,N20,N72,N27,N36,N46,N80)</f>
        <v>145.46054046889736</v>
      </c>
      <c r="E2" s="10" t="s">
        <v>14</v>
      </c>
      <c r="F2" s="11">
        <f>F1/D1</f>
        <v>32.987049583758925</v>
      </c>
      <c r="G2" s="1" t="s">
        <v>1345</v>
      </c>
      <c r="H2" s="12">
        <f>COUNT(H5:H80)</f>
        <v>17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SUM(Y10+Y14+Y20+Y27+Y36+Y46+Y57+Y67+Y72+Y80)</f>
        <v>0</v>
      </c>
      <c r="Z2" s="13">
        <f>SUM(Z10+Z14+Z20+Z27+Z36+Z46+Z57+Z67+Z72+Z80)</f>
        <v>0</v>
      </c>
      <c r="AA2" s="213"/>
      <c r="AB2" s="213"/>
      <c r="AC2" s="13">
        <v>66</v>
      </c>
      <c r="AD2" s="13">
        <f>SUM(AD10+AD14+AD20+AD27+AD36+AD46+AD57+AD67+AD72+AD80)</f>
        <v>0</v>
      </c>
      <c r="AE2" s="214"/>
      <c r="AF2" s="214"/>
      <c r="AG2" s="214"/>
    </row>
    <row r="3" spans="1:33" ht="40.5" customHeight="1">
      <c r="A3" s="162" t="s">
        <v>1346</v>
      </c>
      <c r="B3" s="162" t="s">
        <v>1347</v>
      </c>
      <c r="C3" s="162" t="s">
        <v>1348</v>
      </c>
      <c r="D3" s="162"/>
      <c r="E3" s="210" t="s">
        <v>1349</v>
      </c>
      <c r="F3" s="162" t="s">
        <v>1350</v>
      </c>
      <c r="G3" s="210" t="s">
        <v>1351</v>
      </c>
      <c r="H3" s="204" t="s">
        <v>1352</v>
      </c>
      <c r="I3" s="202" t="s">
        <v>1353</v>
      </c>
      <c r="J3" s="199" t="s">
        <v>1354</v>
      </c>
      <c r="K3" s="209" t="s">
        <v>1344</v>
      </c>
      <c r="L3" s="202" t="s">
        <v>1355</v>
      </c>
      <c r="M3" s="199" t="s">
        <v>1356</v>
      </c>
      <c r="N3" s="209" t="s">
        <v>1357</v>
      </c>
      <c r="O3" s="202" t="s">
        <v>1355</v>
      </c>
      <c r="P3" s="209" t="s">
        <v>1344</v>
      </c>
      <c r="Q3" s="200" t="s">
        <v>1358</v>
      </c>
      <c r="R3" s="178" t="s">
        <v>1359</v>
      </c>
      <c r="S3" s="162" t="s">
        <v>27</v>
      </c>
      <c r="T3" s="162"/>
      <c r="U3" s="204" t="s">
        <v>28</v>
      </c>
      <c r="V3" s="204" t="s">
        <v>1360</v>
      </c>
      <c r="W3" s="162" t="s">
        <v>1361</v>
      </c>
      <c r="X3" s="162"/>
      <c r="Y3" s="205" t="s">
        <v>1362</v>
      </c>
      <c r="Z3" s="166"/>
      <c r="AA3" s="206" t="s">
        <v>1363</v>
      </c>
      <c r="AB3" s="207"/>
      <c r="AC3" s="205" t="s">
        <v>1364</v>
      </c>
      <c r="AD3" s="166"/>
      <c r="AE3" s="199" t="s">
        <v>1365</v>
      </c>
      <c r="AF3" s="200" t="s">
        <v>1366</v>
      </c>
      <c r="AG3" s="178" t="s">
        <v>1367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1368</v>
      </c>
      <c r="X4" s="4" t="s">
        <v>1369</v>
      </c>
      <c r="Y4" s="14" t="s">
        <v>1370</v>
      </c>
      <c r="Z4" s="14" t="s">
        <v>1371</v>
      </c>
      <c r="AA4" s="208"/>
      <c r="AB4" s="207"/>
      <c r="AC4" s="14" t="s">
        <v>1372</v>
      </c>
      <c r="AD4" s="14" t="s">
        <v>1373</v>
      </c>
      <c r="AE4" s="199"/>
      <c r="AF4" s="200"/>
      <c r="AG4" s="178"/>
    </row>
    <row r="5" spans="1:33">
      <c r="A5" s="201" t="s">
        <v>1374</v>
      </c>
      <c r="B5" s="35" t="s">
        <v>78</v>
      </c>
      <c r="C5" s="203" t="s">
        <v>79</v>
      </c>
      <c r="D5" s="203"/>
      <c r="E5" s="35">
        <v>50.67</v>
      </c>
      <c r="F5" s="4">
        <v>1780</v>
      </c>
      <c r="G5" s="4">
        <f t="shared" ref="G5:G9" si="0">E5*F5</f>
        <v>90192.6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1907.1428571428585</v>
      </c>
      <c r="N5" s="16">
        <f t="shared" ref="N5:N68" si="3">M5/L5</f>
        <v>112.18487394957991</v>
      </c>
      <c r="O5" s="18">
        <f t="shared" ref="O5:O68" si="4">L5-I5</f>
        <v>0</v>
      </c>
      <c r="P5" s="19">
        <f t="shared" ref="P5:P68" si="5">N5-K5</f>
        <v>-5.4621848739494965</v>
      </c>
      <c r="Q5" s="20">
        <f t="shared" ref="Q5:Q68" si="6">N5/K5</f>
        <v>0.95357142857142929</v>
      </c>
      <c r="R5" s="170">
        <f>Q10</f>
        <v>0.97082798627925937</v>
      </c>
      <c r="S5" s="27">
        <v>0.70833333333333337</v>
      </c>
      <c r="T5" s="27">
        <v>0.74722222222222223</v>
      </c>
      <c r="U5" s="4"/>
      <c r="V5" s="21">
        <f t="shared" ref="V5:V9" si="7">(T5-S5)*24*60</f>
        <v>55.999999999999957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6" si="8">M5-J5</f>
        <v>-92.857142857141525</v>
      </c>
      <c r="AF5" s="20">
        <f t="shared" ref="AF5:AF68" si="9">M5/J5</f>
        <v>0.95357142857142929</v>
      </c>
      <c r="AG5" s="170">
        <f>AF10</f>
        <v>0.97082798627925937</v>
      </c>
    </row>
    <row r="6" spans="1:33">
      <c r="A6" s="202" t="s">
        <v>1375</v>
      </c>
      <c r="B6" s="35" t="s">
        <v>78</v>
      </c>
      <c r="C6" s="203" t="s">
        <v>80</v>
      </c>
      <c r="D6" s="203"/>
      <c r="E6" s="35">
        <v>54.09</v>
      </c>
      <c r="F6" s="4">
        <v>1529</v>
      </c>
      <c r="G6" s="4">
        <f t="shared" si="0"/>
        <v>82703.61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1911.2500000000005</v>
      </c>
      <c r="N6" s="16">
        <f t="shared" si="3"/>
        <v>100.59210526315792</v>
      </c>
      <c r="O6" s="18">
        <f t="shared" si="4"/>
        <v>0</v>
      </c>
      <c r="P6" s="19">
        <f t="shared" si="5"/>
        <v>-4.6710526315789167</v>
      </c>
      <c r="Q6" s="20">
        <f t="shared" si="6"/>
        <v>0.95562500000000028</v>
      </c>
      <c r="R6" s="170"/>
      <c r="S6" s="27">
        <v>0.75138888888888888</v>
      </c>
      <c r="T6" s="27">
        <v>0.78472222222222221</v>
      </c>
      <c r="U6" s="4">
        <f t="shared" ref="U6:U9" si="10">IF(S6=TIME(17,0,0),"",(S6-T5)*24*60)</f>
        <v>5.9999999999999787</v>
      </c>
      <c r="V6" s="21">
        <f t="shared" si="7"/>
        <v>47.999999999999986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-88.749999999999545</v>
      </c>
      <c r="AF6" s="20">
        <f t="shared" si="9"/>
        <v>0.95562500000000028</v>
      </c>
      <c r="AG6" s="170"/>
    </row>
    <row r="7" spans="1:33">
      <c r="A7" s="202" t="s">
        <v>1375</v>
      </c>
      <c r="B7" s="35" t="s">
        <v>78</v>
      </c>
      <c r="C7" s="197" t="s">
        <v>81</v>
      </c>
      <c r="D7" s="198"/>
      <c r="E7" s="35">
        <v>50.29</v>
      </c>
      <c r="F7" s="4">
        <v>599</v>
      </c>
      <c r="G7" s="4">
        <f t="shared" si="0"/>
        <v>30123.71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1996.666666666674</v>
      </c>
      <c r="N7" s="16">
        <f t="shared" si="3"/>
        <v>124.79166666666713</v>
      </c>
      <c r="O7" s="18">
        <f t="shared" si="4"/>
        <v>0</v>
      </c>
      <c r="P7" s="19">
        <f t="shared" si="5"/>
        <v>-0.20833333333287385</v>
      </c>
      <c r="Q7" s="20">
        <f t="shared" si="6"/>
        <v>0.99833333333333696</v>
      </c>
      <c r="R7" s="170"/>
      <c r="S7" s="27">
        <v>0.7895833333333333</v>
      </c>
      <c r="T7" s="27">
        <v>0.80208333333333326</v>
      </c>
      <c r="U7" s="4">
        <f t="shared" si="10"/>
        <v>6.9999999999999751</v>
      </c>
      <c r="V7" s="21">
        <f t="shared" si="7"/>
        <v>17.999999999999936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-3.3333333333259816</v>
      </c>
      <c r="AF7" s="20">
        <f t="shared" si="9"/>
        <v>0.99833333333333696</v>
      </c>
      <c r="AG7" s="170"/>
    </row>
    <row r="8" spans="1:33">
      <c r="A8" s="202" t="s">
        <v>1375</v>
      </c>
      <c r="B8" s="35" t="s">
        <v>78</v>
      </c>
      <c r="C8" s="197" t="s">
        <v>82</v>
      </c>
      <c r="D8" s="198"/>
      <c r="E8" s="35">
        <v>50.67</v>
      </c>
      <c r="F8" s="4">
        <v>490</v>
      </c>
      <c r="G8" s="4">
        <f t="shared" si="0"/>
        <v>24828.3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1960.000000000007</v>
      </c>
      <c r="N8" s="16">
        <f t="shared" si="3"/>
        <v>93.33333333333367</v>
      </c>
      <c r="O8" s="18">
        <f t="shared" si="4"/>
        <v>0</v>
      </c>
      <c r="P8" s="19">
        <f t="shared" si="5"/>
        <v>-1.9047619047615711</v>
      </c>
      <c r="Q8" s="20">
        <f t="shared" si="6"/>
        <v>0.98000000000000353</v>
      </c>
      <c r="R8" s="170"/>
      <c r="S8" s="27">
        <v>0.80694444444444435</v>
      </c>
      <c r="T8" s="27">
        <v>0.81736111111111098</v>
      </c>
      <c r="U8" s="4">
        <f t="shared" si="10"/>
        <v>6.9999999999999751</v>
      </c>
      <c r="V8" s="21">
        <f t="shared" si="7"/>
        <v>14.999999999999947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-39.999999999992951</v>
      </c>
      <c r="AF8" s="20">
        <f t="shared" si="9"/>
        <v>0.98000000000000353</v>
      </c>
      <c r="AG8" s="170"/>
    </row>
    <row r="9" spans="1:33">
      <c r="A9" s="202" t="s">
        <v>1375</v>
      </c>
      <c r="B9" s="35" t="s">
        <v>78</v>
      </c>
      <c r="C9" s="197" t="s">
        <v>91</v>
      </c>
      <c r="D9" s="198"/>
      <c r="E9" s="35">
        <v>50.67</v>
      </c>
      <c r="F9" s="4">
        <v>1901</v>
      </c>
      <c r="G9" s="4">
        <f t="shared" si="0"/>
        <v>96323.67</v>
      </c>
      <c r="H9" s="21" t="s">
        <v>133</v>
      </c>
      <c r="I9" s="15">
        <v>15</v>
      </c>
      <c r="J9" s="17">
        <v>2000</v>
      </c>
      <c r="K9" s="16">
        <f t="shared" si="1"/>
        <v>133.33333333333334</v>
      </c>
      <c r="L9" s="15">
        <v>15</v>
      </c>
      <c r="M9" s="17">
        <f t="shared" si="2"/>
        <v>1933.2203389830524</v>
      </c>
      <c r="N9" s="16">
        <f t="shared" si="3"/>
        <v>128.88135593220349</v>
      </c>
      <c r="O9" s="18">
        <f t="shared" si="4"/>
        <v>0</v>
      </c>
      <c r="P9" s="19">
        <f t="shared" si="5"/>
        <v>-4.4519774011298523</v>
      </c>
      <c r="Q9" s="20">
        <f t="shared" si="6"/>
        <v>0.96661016949152612</v>
      </c>
      <c r="R9" s="170"/>
      <c r="S9" s="27">
        <v>0.82083333333333319</v>
      </c>
      <c r="T9" s="27">
        <v>0.86180555555555538</v>
      </c>
      <c r="U9" s="4">
        <f t="shared" si="10"/>
        <v>4.9999999999999822</v>
      </c>
      <c r="V9" s="21">
        <f t="shared" si="7"/>
        <v>58.99999999999995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-66.779661016947557</v>
      </c>
      <c r="AF9" s="20">
        <f t="shared" si="9"/>
        <v>0.96661016949152623</v>
      </c>
      <c r="AG9" s="170"/>
    </row>
    <row r="10" spans="1:33">
      <c r="A10" s="202" t="s">
        <v>1375</v>
      </c>
      <c r="B10" s="35" t="s">
        <v>1376</v>
      </c>
      <c r="C10" s="171"/>
      <c r="D10" s="171"/>
      <c r="E10" s="36"/>
      <c r="F10" s="16"/>
      <c r="G10" s="16"/>
      <c r="H10" s="4"/>
      <c r="I10" s="29">
        <v>17.600000000000001</v>
      </c>
      <c r="J10" s="17">
        <v>2000</v>
      </c>
      <c r="K10" s="16">
        <f t="shared" si="1"/>
        <v>113.63636363636363</v>
      </c>
      <c r="L10" s="29">
        <v>17.600000000000001</v>
      </c>
      <c r="M10" s="17">
        <f>AVERAGE(M5:M9)</f>
        <v>1941.6559725585187</v>
      </c>
      <c r="N10" s="16">
        <f t="shared" si="3"/>
        <v>110.32136207718855</v>
      </c>
      <c r="O10" s="18">
        <f t="shared" si="4"/>
        <v>0</v>
      </c>
      <c r="P10" s="19">
        <f t="shared" si="5"/>
        <v>-3.315001559175073</v>
      </c>
      <c r="Q10" s="20">
        <f t="shared" si="6"/>
        <v>0.97082798627925937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-58.34402744148133</v>
      </c>
      <c r="AF10" s="20">
        <f t="shared" si="9"/>
        <v>0.97082798627925937</v>
      </c>
      <c r="AG10" s="170"/>
    </row>
    <row r="11" spans="1:33" ht="15.75" customHeight="1">
      <c r="A11" s="196" t="s">
        <v>1377</v>
      </c>
      <c r="B11" s="35" t="s">
        <v>84</v>
      </c>
      <c r="C11" s="197" t="s">
        <v>85</v>
      </c>
      <c r="D11" s="198"/>
      <c r="E11" s="35">
        <v>39.619999999999997</v>
      </c>
      <c r="F11" s="4">
        <v>4886</v>
      </c>
      <c r="G11" s="4">
        <f t="shared" ref="G11:G13" si="11">E11*F11</f>
        <v>193583.31999999998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3" si="12">F11/V11*60</f>
        <v>1430.0487804878051</v>
      </c>
      <c r="N11" s="16">
        <f t="shared" si="3"/>
        <v>75.265725288831845</v>
      </c>
      <c r="O11" s="18">
        <f t="shared" si="4"/>
        <v>0</v>
      </c>
      <c r="P11" s="19">
        <f t="shared" si="5"/>
        <v>-3.6816431322207848</v>
      </c>
      <c r="Q11" s="20">
        <f t="shared" si="6"/>
        <v>0.95336585365853677</v>
      </c>
      <c r="R11" s="170">
        <f>Q14</f>
        <v>0.95535741724602308</v>
      </c>
      <c r="S11" s="27">
        <v>0.20833333333333334</v>
      </c>
      <c r="T11" s="27">
        <v>0.35069444444444442</v>
      </c>
      <c r="U11" s="4"/>
      <c r="V11" s="21">
        <f t="shared" ref="V11:V13" si="13">(T11-S11)*24*60</f>
        <v>204.99999999999997</v>
      </c>
      <c r="W11" s="22"/>
      <c r="X11" s="22"/>
      <c r="Y11" s="22"/>
      <c r="Z11" s="22"/>
      <c r="AA11" s="162"/>
      <c r="AB11" s="162"/>
      <c r="AC11" s="24">
        <v>3</v>
      </c>
      <c r="AD11" s="24"/>
      <c r="AE11" s="18">
        <f t="shared" si="8"/>
        <v>-69.951219512194939</v>
      </c>
      <c r="AF11" s="20">
        <f t="shared" si="9"/>
        <v>0.95336585365853665</v>
      </c>
      <c r="AG11" s="170">
        <f>AF14</f>
        <v>0.95535741724602308</v>
      </c>
    </row>
    <row r="12" spans="1:33" ht="15.75" customHeight="1">
      <c r="A12" s="196" t="s">
        <v>1377</v>
      </c>
      <c r="B12" s="35" t="s">
        <v>84</v>
      </c>
      <c r="C12" s="197" t="s">
        <v>86</v>
      </c>
      <c r="D12" s="198"/>
      <c r="E12" s="35">
        <v>39.799999999999997</v>
      </c>
      <c r="F12" s="4">
        <v>4800</v>
      </c>
      <c r="G12" s="4">
        <f t="shared" si="11"/>
        <v>191040</v>
      </c>
      <c r="H12" s="21">
        <v>2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1432.8358208955224</v>
      </c>
      <c r="N12" s="16">
        <f t="shared" si="3"/>
        <v>84.284460052677787</v>
      </c>
      <c r="O12" s="18">
        <f t="shared" si="4"/>
        <v>0</v>
      </c>
      <c r="P12" s="19">
        <f t="shared" si="5"/>
        <v>-3.9508340649692713</v>
      </c>
      <c r="Q12" s="20">
        <f t="shared" si="6"/>
        <v>0.95522388059701491</v>
      </c>
      <c r="R12" s="170"/>
      <c r="S12" s="27">
        <v>0.35555555555555551</v>
      </c>
      <c r="T12" s="27">
        <v>0.49513888888888885</v>
      </c>
      <c r="U12" s="4">
        <f t="shared" ref="U12:U13" si="14">IF(S12=TIME(17,0,0),"",(S12-T11)*24*60)</f>
        <v>6.9999999999999751</v>
      </c>
      <c r="V12" s="21">
        <f t="shared" si="13"/>
        <v>201</v>
      </c>
      <c r="W12" s="22">
        <f>T12</f>
        <v>0.49513888888888885</v>
      </c>
      <c r="X12" s="22">
        <f>S13</f>
        <v>0.53541666666666665</v>
      </c>
      <c r="Y12" s="22"/>
      <c r="Z12" s="22"/>
      <c r="AA12" s="162"/>
      <c r="AB12" s="162"/>
      <c r="AC12" s="24"/>
      <c r="AD12" s="24"/>
      <c r="AE12" s="18">
        <f t="shared" si="8"/>
        <v>-67.164179104477626</v>
      </c>
      <c r="AF12" s="20">
        <f t="shared" si="9"/>
        <v>0.95522388059701491</v>
      </c>
      <c r="AG12" s="170"/>
    </row>
    <row r="13" spans="1:33" ht="15.75" customHeight="1">
      <c r="A13" s="196" t="s">
        <v>1377</v>
      </c>
      <c r="B13" s="35" t="s">
        <v>84</v>
      </c>
      <c r="C13" s="197" t="s">
        <v>86</v>
      </c>
      <c r="D13" s="198"/>
      <c r="E13" s="35">
        <v>39.799999999999997</v>
      </c>
      <c r="F13" s="4">
        <v>3423</v>
      </c>
      <c r="G13" s="4">
        <f t="shared" si="11"/>
        <v>136235.4</v>
      </c>
      <c r="H13" s="21" t="s">
        <v>133</v>
      </c>
      <c r="I13" s="15">
        <v>17</v>
      </c>
      <c r="J13" s="17">
        <v>1500</v>
      </c>
      <c r="K13" s="16">
        <f t="shared" si="1"/>
        <v>88.235294117647058</v>
      </c>
      <c r="L13" s="15">
        <v>17</v>
      </c>
      <c r="M13" s="17">
        <f t="shared" si="12"/>
        <v>1436.2237762237764</v>
      </c>
      <c r="N13" s="16">
        <f t="shared" si="3"/>
        <v>84.483751542575078</v>
      </c>
      <c r="O13" s="18">
        <f t="shared" si="4"/>
        <v>0</v>
      </c>
      <c r="P13" s="19">
        <f t="shared" si="5"/>
        <v>-3.75154257507198</v>
      </c>
      <c r="Q13" s="20">
        <f t="shared" si="6"/>
        <v>0.95748251748251756</v>
      </c>
      <c r="R13" s="170"/>
      <c r="S13" s="27">
        <v>0.53541666666666665</v>
      </c>
      <c r="T13" s="27">
        <v>0.63472222222222219</v>
      </c>
      <c r="U13" s="4">
        <f t="shared" si="14"/>
        <v>58.000000000000036</v>
      </c>
      <c r="V13" s="21">
        <f t="shared" si="13"/>
        <v>142.99999999999997</v>
      </c>
      <c r="W13" s="22"/>
      <c r="X13" s="22"/>
      <c r="Y13" s="22"/>
      <c r="Z13" s="22"/>
      <c r="AA13" s="162"/>
      <c r="AB13" s="162"/>
      <c r="AC13" s="24"/>
      <c r="AD13" s="24"/>
      <c r="AE13" s="18">
        <f t="shared" si="8"/>
        <v>-63.77622377622356</v>
      </c>
      <c r="AF13" s="20">
        <f t="shared" si="9"/>
        <v>0.95748251748251767</v>
      </c>
      <c r="AG13" s="170"/>
    </row>
    <row r="14" spans="1:33" ht="16.5" customHeight="1">
      <c r="A14" s="196" t="s">
        <v>1377</v>
      </c>
      <c r="B14" s="35" t="s">
        <v>1376</v>
      </c>
      <c r="C14" s="171"/>
      <c r="D14" s="171"/>
      <c r="E14" s="36"/>
      <c r="F14" s="17"/>
      <c r="G14" s="17"/>
      <c r="H14" s="4"/>
      <c r="I14" s="29">
        <v>17.666666666666668</v>
      </c>
      <c r="J14" s="17">
        <v>1500</v>
      </c>
      <c r="K14" s="16">
        <f t="shared" si="1"/>
        <v>84.905660377358487</v>
      </c>
      <c r="L14" s="29">
        <v>17.666666666666668</v>
      </c>
      <c r="M14" s="17">
        <f>AVERAGE(M11:M13)</f>
        <v>1433.0361258690345</v>
      </c>
      <c r="N14" s="16">
        <f t="shared" si="3"/>
        <v>81.115252407681197</v>
      </c>
      <c r="O14" s="18">
        <f t="shared" si="4"/>
        <v>0</v>
      </c>
      <c r="P14" s="19">
        <f t="shared" si="5"/>
        <v>-3.7904079696772897</v>
      </c>
      <c r="Q14" s="20">
        <f t="shared" si="6"/>
        <v>0.95535741724602308</v>
      </c>
      <c r="R14" s="170"/>
      <c r="S14" s="27"/>
      <c r="T14" s="27"/>
      <c r="U14" s="16"/>
      <c r="V14" s="21"/>
      <c r="W14" s="16"/>
      <c r="X14" s="16"/>
      <c r="Y14" s="30">
        <f>SUM(Y11:Y13)</f>
        <v>0</v>
      </c>
      <c r="Z14" s="30">
        <f>SUM(Z11:Z13)</f>
        <v>0</v>
      </c>
      <c r="AA14" s="166"/>
      <c r="AB14" s="166"/>
      <c r="AC14" s="30">
        <v>3</v>
      </c>
      <c r="AD14" s="30">
        <f>SUM(AD11:AD13)</f>
        <v>0</v>
      </c>
      <c r="AE14" s="18">
        <f t="shared" si="8"/>
        <v>-66.963874130965451</v>
      </c>
      <c r="AF14" s="20">
        <f t="shared" si="9"/>
        <v>0.95535741724602308</v>
      </c>
      <c r="AG14" s="170"/>
    </row>
    <row r="15" spans="1:33" ht="16.5" customHeight="1">
      <c r="A15" s="194" t="s">
        <v>1378</v>
      </c>
      <c r="B15" s="4" t="s">
        <v>87</v>
      </c>
      <c r="C15" s="190" t="s">
        <v>88</v>
      </c>
      <c r="D15" s="190"/>
      <c r="E15" s="35">
        <v>41</v>
      </c>
      <c r="F15" s="4">
        <v>3958</v>
      </c>
      <c r="G15" s="4">
        <f t="shared" ref="G15:G19" si="15">E15*F15</f>
        <v>162278</v>
      </c>
      <c r="H15" s="21" t="s">
        <v>133</v>
      </c>
      <c r="I15" s="15">
        <v>26</v>
      </c>
      <c r="J15" s="17">
        <v>1500</v>
      </c>
      <c r="K15" s="16">
        <f t="shared" si="1"/>
        <v>57.692307692307693</v>
      </c>
      <c r="L15" s="15">
        <v>26</v>
      </c>
      <c r="M15" s="17">
        <f t="shared" ref="M15:M19" si="16">F15/V15*60</f>
        <v>1430.6024096385543</v>
      </c>
      <c r="N15" s="16">
        <f t="shared" si="3"/>
        <v>55.023169601482856</v>
      </c>
      <c r="O15" s="18">
        <f t="shared" si="4"/>
        <v>0</v>
      </c>
      <c r="P15" s="19">
        <f t="shared" si="5"/>
        <v>-2.6691380908248377</v>
      </c>
      <c r="Q15" s="20">
        <f t="shared" si="6"/>
        <v>0.95373493975903612</v>
      </c>
      <c r="R15" s="170">
        <f>Q20</f>
        <v>0.96027959761906378</v>
      </c>
      <c r="S15" s="27">
        <v>0.20833333333333334</v>
      </c>
      <c r="T15" s="27">
        <v>0.32361111111111113</v>
      </c>
      <c r="U15" s="4"/>
      <c r="V15" s="21">
        <f t="shared" ref="V15:V19" si="17">(T15-S15)*24*60</f>
        <v>166</v>
      </c>
      <c r="W15" s="27"/>
      <c r="X15" s="27"/>
      <c r="Y15" s="27"/>
      <c r="Z15" s="27"/>
      <c r="AA15" s="162"/>
      <c r="AB15" s="162"/>
      <c r="AC15" s="24">
        <v>5</v>
      </c>
      <c r="AD15" s="24"/>
      <c r="AE15" s="18">
        <f t="shared" si="8"/>
        <v>-69.397590361445737</v>
      </c>
      <c r="AF15" s="20">
        <f t="shared" si="9"/>
        <v>0.95373493975903623</v>
      </c>
      <c r="AG15" s="170">
        <f>AF20</f>
        <v>0.96027959761906367</v>
      </c>
    </row>
    <row r="16" spans="1:33" ht="16.5" customHeight="1">
      <c r="A16" s="195" t="s">
        <v>1378</v>
      </c>
      <c r="B16" s="4" t="s">
        <v>78</v>
      </c>
      <c r="C16" s="190" t="s">
        <v>89</v>
      </c>
      <c r="D16" s="190"/>
      <c r="E16" s="35">
        <v>50.98</v>
      </c>
      <c r="F16" s="4">
        <v>3009</v>
      </c>
      <c r="G16" s="4">
        <f t="shared" si="15"/>
        <v>153398.81999999998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1900.4210526315792</v>
      </c>
      <c r="N16" s="16">
        <f t="shared" si="3"/>
        <v>118.7763157894737</v>
      </c>
      <c r="O16" s="18">
        <f t="shared" si="4"/>
        <v>0</v>
      </c>
      <c r="P16" s="19">
        <f t="shared" si="5"/>
        <v>-6.2236842105263008</v>
      </c>
      <c r="Q16" s="20">
        <f t="shared" si="6"/>
        <v>0.95021052631578962</v>
      </c>
      <c r="R16" s="170"/>
      <c r="S16" s="27">
        <v>0.70833333333333337</v>
      </c>
      <c r="T16" s="27">
        <v>0.77430555555555558</v>
      </c>
      <c r="U16" s="4" t="str">
        <f t="shared" ref="U16:U19" si="18">IF(S16=TIME(17,0,0),"",(S16-T15)*24*60)</f>
        <v/>
      </c>
      <c r="V16" s="21">
        <f t="shared" si="17"/>
        <v>94.999999999999986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-99.578947368420813</v>
      </c>
      <c r="AF16" s="20">
        <f t="shared" si="9"/>
        <v>0.95021052631578962</v>
      </c>
      <c r="AG16" s="170"/>
    </row>
    <row r="17" spans="1:33" ht="16.5" customHeight="1">
      <c r="A17" s="195" t="s">
        <v>1378</v>
      </c>
      <c r="B17" s="4" t="s">
        <v>78</v>
      </c>
      <c r="C17" s="190" t="s">
        <v>90</v>
      </c>
      <c r="D17" s="190"/>
      <c r="E17" s="35">
        <v>50.92</v>
      </c>
      <c r="F17" s="4">
        <v>1400</v>
      </c>
      <c r="G17" s="4">
        <f t="shared" si="15"/>
        <v>71288</v>
      </c>
      <c r="H17" s="21">
        <v>2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1909.090909090909</v>
      </c>
      <c r="N17" s="16">
        <f t="shared" si="3"/>
        <v>127.27272727272727</v>
      </c>
      <c r="O17" s="18">
        <f t="shared" si="4"/>
        <v>0</v>
      </c>
      <c r="P17" s="19">
        <f t="shared" si="5"/>
        <v>-6.0606060606060765</v>
      </c>
      <c r="Q17" s="20">
        <f t="shared" si="6"/>
        <v>0.95454545454545447</v>
      </c>
      <c r="R17" s="170"/>
      <c r="S17" s="27">
        <v>0.77986111111111112</v>
      </c>
      <c r="T17" s="27">
        <v>0.81041666666666667</v>
      </c>
      <c r="U17" s="4">
        <f t="shared" si="18"/>
        <v>7.9999999999999716</v>
      </c>
      <c r="V17" s="21">
        <f t="shared" si="17"/>
        <v>44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-90.909090909090992</v>
      </c>
      <c r="AF17" s="20">
        <f t="shared" si="9"/>
        <v>0.95454545454545447</v>
      </c>
      <c r="AG17" s="170"/>
    </row>
    <row r="18" spans="1:33" ht="16.5" customHeight="1">
      <c r="A18" s="195" t="s">
        <v>1378</v>
      </c>
      <c r="B18" s="4" t="s">
        <v>78</v>
      </c>
      <c r="C18" s="190" t="s">
        <v>83</v>
      </c>
      <c r="D18" s="190"/>
      <c r="E18" s="35">
        <v>50.67</v>
      </c>
      <c r="F18" s="4">
        <v>851</v>
      </c>
      <c r="G18" s="4">
        <f t="shared" si="15"/>
        <v>43120.17</v>
      </c>
      <c r="H18" s="21" t="s">
        <v>133</v>
      </c>
      <c r="I18" s="15">
        <v>16</v>
      </c>
      <c r="J18" s="17">
        <v>2000</v>
      </c>
      <c r="K18" s="16">
        <f t="shared" si="1"/>
        <v>125</v>
      </c>
      <c r="L18" s="15">
        <v>16</v>
      </c>
      <c r="M18" s="17">
        <f t="shared" si="16"/>
        <v>1963.8461538461488</v>
      </c>
      <c r="N18" s="16">
        <f t="shared" si="3"/>
        <v>122.7403846153843</v>
      </c>
      <c r="O18" s="18">
        <f t="shared" si="4"/>
        <v>0</v>
      </c>
      <c r="P18" s="19">
        <f t="shared" si="5"/>
        <v>-2.2596153846156994</v>
      </c>
      <c r="Q18" s="20">
        <f t="shared" si="6"/>
        <v>0.98192307692307446</v>
      </c>
      <c r="R18" s="170"/>
      <c r="S18" s="27">
        <v>0.81597222222222221</v>
      </c>
      <c r="T18" s="27">
        <v>0.83402777777777781</v>
      </c>
      <c r="U18" s="4">
        <f t="shared" si="18"/>
        <v>7.9999999999999716</v>
      </c>
      <c r="V18" s="21">
        <f t="shared" si="17"/>
        <v>26.000000000000068</v>
      </c>
      <c r="W18" s="22">
        <f>T18</f>
        <v>0.83402777777777781</v>
      </c>
      <c r="X18" s="22">
        <f>S19</f>
        <v>0.875</v>
      </c>
      <c r="Y18" s="22"/>
      <c r="Z18" s="22"/>
      <c r="AA18" s="162"/>
      <c r="AB18" s="162"/>
      <c r="AC18" s="24"/>
      <c r="AD18" s="24"/>
      <c r="AE18" s="18">
        <f t="shared" si="8"/>
        <v>-36.153846153851191</v>
      </c>
      <c r="AF18" s="20">
        <f t="shared" si="9"/>
        <v>0.98192307692307446</v>
      </c>
      <c r="AG18" s="170"/>
    </row>
    <row r="19" spans="1:33" ht="16.5" customHeight="1">
      <c r="A19" s="195" t="s">
        <v>1378</v>
      </c>
      <c r="B19" s="4" t="s">
        <v>78</v>
      </c>
      <c r="C19" s="190" t="s">
        <v>90</v>
      </c>
      <c r="D19" s="190"/>
      <c r="E19" s="35">
        <v>50.92</v>
      </c>
      <c r="F19" s="4">
        <v>1471</v>
      </c>
      <c r="G19" s="4">
        <f t="shared" si="15"/>
        <v>74903.320000000007</v>
      </c>
      <c r="H19" s="21" t="s">
        <v>133</v>
      </c>
      <c r="I19" s="15">
        <v>15</v>
      </c>
      <c r="J19" s="17">
        <v>2000</v>
      </c>
      <c r="K19" s="16">
        <f t="shared" si="1"/>
        <v>133.33333333333334</v>
      </c>
      <c r="L19" s="15">
        <v>15</v>
      </c>
      <c r="M19" s="17">
        <f t="shared" si="16"/>
        <v>1918.695652173913</v>
      </c>
      <c r="N19" s="16">
        <f t="shared" si="3"/>
        <v>127.91304347826086</v>
      </c>
      <c r="O19" s="18">
        <f t="shared" si="4"/>
        <v>0</v>
      </c>
      <c r="P19" s="19">
        <f t="shared" si="5"/>
        <v>-5.4202898550724825</v>
      </c>
      <c r="Q19" s="20">
        <f t="shared" si="6"/>
        <v>0.95934782608695635</v>
      </c>
      <c r="R19" s="170"/>
      <c r="S19" s="27">
        <v>0.875</v>
      </c>
      <c r="T19" s="27">
        <v>0.90694444444444444</v>
      </c>
      <c r="U19" s="4">
        <f t="shared" si="18"/>
        <v>58.99999999999995</v>
      </c>
      <c r="V19" s="21">
        <f t="shared" si="17"/>
        <v>46</v>
      </c>
      <c r="W19" s="22"/>
      <c r="X19" s="22"/>
      <c r="Y19" s="22"/>
      <c r="Z19" s="22"/>
      <c r="AA19" s="162"/>
      <c r="AB19" s="162"/>
      <c r="AC19" s="24"/>
      <c r="AD19" s="24"/>
      <c r="AE19" s="18">
        <f t="shared" si="8"/>
        <v>-81.304347826086996</v>
      </c>
      <c r="AF19" s="20">
        <f t="shared" si="9"/>
        <v>0.95934782608695646</v>
      </c>
      <c r="AG19" s="170"/>
    </row>
    <row r="20" spans="1:33" ht="16.5" customHeight="1">
      <c r="A20" s="195" t="s">
        <v>1378</v>
      </c>
      <c r="B20" s="35" t="s">
        <v>1376</v>
      </c>
      <c r="C20" s="171"/>
      <c r="D20" s="171"/>
      <c r="E20" s="36"/>
      <c r="F20" s="16"/>
      <c r="G20" s="16"/>
      <c r="H20" s="4"/>
      <c r="I20" s="29">
        <v>17.600000000000001</v>
      </c>
      <c r="J20" s="17">
        <v>1900</v>
      </c>
      <c r="K20" s="16">
        <f t="shared" si="1"/>
        <v>107.95454545454544</v>
      </c>
      <c r="L20" s="29">
        <v>17.600000000000001</v>
      </c>
      <c r="M20" s="17">
        <f>AVERAGE(M15:M19)</f>
        <v>1824.5312354762209</v>
      </c>
      <c r="N20" s="16">
        <f t="shared" si="3"/>
        <v>103.66654747023982</v>
      </c>
      <c r="O20" s="18">
        <f t="shared" si="4"/>
        <v>0</v>
      </c>
      <c r="P20" s="19">
        <f t="shared" si="5"/>
        <v>-4.2879979843056191</v>
      </c>
      <c r="Q20" s="20">
        <f t="shared" si="6"/>
        <v>0.96027959761906378</v>
      </c>
      <c r="R20" s="170"/>
      <c r="S20" s="27"/>
      <c r="T20" s="27"/>
      <c r="U20" s="4"/>
      <c r="V20" s="21"/>
      <c r="W20" s="16"/>
      <c r="X20" s="16"/>
      <c r="Y20" s="30">
        <f>SUM(Y15:Y19)</f>
        <v>0</v>
      </c>
      <c r="Z20" s="30">
        <f>SUM(Z15:Z19)</f>
        <v>0</v>
      </c>
      <c r="AA20" s="166"/>
      <c r="AB20" s="166"/>
      <c r="AC20" s="30">
        <v>5</v>
      </c>
      <c r="AD20" s="30">
        <f>SUM(AD15:AD19)</f>
        <v>0</v>
      </c>
      <c r="AE20" s="18">
        <f t="shared" si="8"/>
        <v>-75.4687645237791</v>
      </c>
      <c r="AF20" s="20">
        <f t="shared" si="9"/>
        <v>0.96027959761906367</v>
      </c>
      <c r="AG20" s="170"/>
    </row>
    <row r="21" spans="1:33" ht="15.75" customHeight="1">
      <c r="A21" s="192" t="s">
        <v>1379</v>
      </c>
      <c r="B21" s="35" t="s">
        <v>78</v>
      </c>
      <c r="C21" s="190" t="s">
        <v>92</v>
      </c>
      <c r="D21" s="190"/>
      <c r="E21" s="35">
        <v>57.73</v>
      </c>
      <c r="F21" s="4">
        <v>3203</v>
      </c>
      <c r="G21" s="4">
        <f t="shared" ref="G21:G26" si="19">E21*F21</f>
        <v>184909.19</v>
      </c>
      <c r="H21" s="21" t="s">
        <v>133</v>
      </c>
      <c r="I21" s="15">
        <v>14</v>
      </c>
      <c r="J21" s="17">
        <v>2000</v>
      </c>
      <c r="K21" s="16">
        <f t="shared" si="1"/>
        <v>142.85714285714286</v>
      </c>
      <c r="L21" s="15">
        <v>14</v>
      </c>
      <c r="M21" s="17">
        <f t="shared" ref="M21:M26" si="20">F21/V21*60</f>
        <v>1921.8000000000002</v>
      </c>
      <c r="N21" s="16">
        <f t="shared" si="3"/>
        <v>137.27142857142857</v>
      </c>
      <c r="O21" s="18">
        <f t="shared" si="4"/>
        <v>0</v>
      </c>
      <c r="P21" s="19">
        <f t="shared" si="5"/>
        <v>-5.585714285714289</v>
      </c>
      <c r="Q21" s="20">
        <f t="shared" si="6"/>
        <v>0.96089999999999998</v>
      </c>
      <c r="R21" s="170">
        <f>Q27</f>
        <v>0.95810851991815194</v>
      </c>
      <c r="S21" s="27">
        <v>0.20833333333333334</v>
      </c>
      <c r="T21" s="27">
        <v>0.27777777777777779</v>
      </c>
      <c r="U21" s="4"/>
      <c r="V21" s="21">
        <f t="shared" ref="V21:V26" si="21">(T21-S21)*24*60</f>
        <v>100</v>
      </c>
      <c r="W21" s="27"/>
      <c r="X21" s="27"/>
      <c r="Y21" s="27"/>
      <c r="Z21" s="27"/>
      <c r="AA21" s="162"/>
      <c r="AB21" s="162"/>
      <c r="AC21" s="24">
        <v>6</v>
      </c>
      <c r="AD21" s="24"/>
      <c r="AE21" s="18">
        <f t="shared" si="8"/>
        <v>-78.199999999999818</v>
      </c>
      <c r="AF21" s="20">
        <f t="shared" si="9"/>
        <v>0.96090000000000009</v>
      </c>
      <c r="AG21" s="170">
        <f>AF27</f>
        <v>0.95810851991815194</v>
      </c>
    </row>
    <row r="22" spans="1:33" ht="15.75" customHeight="1">
      <c r="A22" s="193" t="s">
        <v>1379</v>
      </c>
      <c r="B22" s="35" t="s">
        <v>78</v>
      </c>
      <c r="C22" s="190" t="s">
        <v>93</v>
      </c>
      <c r="D22" s="190"/>
      <c r="E22" s="35">
        <v>53.68</v>
      </c>
      <c r="F22" s="4">
        <v>1727</v>
      </c>
      <c r="G22" s="4">
        <f t="shared" si="19"/>
        <v>92705.36</v>
      </c>
      <c r="H22" s="21" t="s">
        <v>133</v>
      </c>
      <c r="I22" s="15">
        <v>16</v>
      </c>
      <c r="J22" s="17">
        <v>2000</v>
      </c>
      <c r="K22" s="16">
        <f t="shared" si="1"/>
        <v>125</v>
      </c>
      <c r="L22" s="15">
        <v>16</v>
      </c>
      <c r="M22" s="17">
        <f t="shared" si="20"/>
        <v>1918.8888888888898</v>
      </c>
      <c r="N22" s="16">
        <f t="shared" si="3"/>
        <v>119.93055555555561</v>
      </c>
      <c r="O22" s="18">
        <f t="shared" si="4"/>
        <v>0</v>
      </c>
      <c r="P22" s="19">
        <f t="shared" si="5"/>
        <v>-5.069444444444386</v>
      </c>
      <c r="Q22" s="20">
        <f t="shared" si="6"/>
        <v>0.95944444444444488</v>
      </c>
      <c r="R22" s="170"/>
      <c r="S22" s="27">
        <v>0.28263888888888888</v>
      </c>
      <c r="T22" s="27">
        <v>0.32013888888888886</v>
      </c>
      <c r="U22" s="4">
        <f t="shared" ref="U22:U26" si="22">IF(S22=TIME(17,0,0),"",(S22-T21)*24*60)</f>
        <v>6.9999999999999751</v>
      </c>
      <c r="V22" s="21">
        <f t="shared" si="21"/>
        <v>53.999999999999972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-81.111111111110176</v>
      </c>
      <c r="AF22" s="20">
        <f t="shared" si="9"/>
        <v>0.95944444444444488</v>
      </c>
      <c r="AG22" s="170"/>
    </row>
    <row r="23" spans="1:33" ht="15.75" customHeight="1">
      <c r="A23" s="193" t="s">
        <v>1379</v>
      </c>
      <c r="B23" s="35" t="s">
        <v>78</v>
      </c>
      <c r="C23" s="190" t="s">
        <v>94</v>
      </c>
      <c r="D23" s="190"/>
      <c r="E23" s="35">
        <v>50.49</v>
      </c>
      <c r="F23" s="4">
        <v>2464</v>
      </c>
      <c r="G23" s="4">
        <f t="shared" si="19"/>
        <v>124407.36</v>
      </c>
      <c r="H23" s="21" t="s">
        <v>133</v>
      </c>
      <c r="I23" s="15">
        <v>15</v>
      </c>
      <c r="J23" s="17">
        <v>2000</v>
      </c>
      <c r="K23" s="16">
        <f t="shared" si="1"/>
        <v>133.33333333333334</v>
      </c>
      <c r="L23" s="15">
        <v>15</v>
      </c>
      <c r="M23" s="17">
        <f t="shared" si="20"/>
        <v>1919.9999999999989</v>
      </c>
      <c r="N23" s="16">
        <f t="shared" si="3"/>
        <v>127.99999999999993</v>
      </c>
      <c r="O23" s="18">
        <f t="shared" si="4"/>
        <v>0</v>
      </c>
      <c r="P23" s="19">
        <f t="shared" si="5"/>
        <v>-5.3333333333334139</v>
      </c>
      <c r="Q23" s="20">
        <f t="shared" si="6"/>
        <v>0.95999999999999941</v>
      </c>
      <c r="R23" s="170"/>
      <c r="S23" s="27">
        <v>0.70833333333333337</v>
      </c>
      <c r="T23" s="27">
        <v>0.76180555555555562</v>
      </c>
      <c r="U23" s="4" t="str">
        <f t="shared" si="22"/>
        <v/>
      </c>
      <c r="V23" s="21">
        <f t="shared" si="21"/>
        <v>77.000000000000043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-80.000000000001137</v>
      </c>
      <c r="AF23" s="20">
        <f t="shared" si="9"/>
        <v>0.95999999999999941</v>
      </c>
      <c r="AG23" s="170"/>
    </row>
    <row r="24" spans="1:33" ht="15.75" customHeight="1">
      <c r="A24" s="193" t="s">
        <v>1379</v>
      </c>
      <c r="B24" s="35" t="s">
        <v>78</v>
      </c>
      <c r="C24" s="190" t="s">
        <v>96</v>
      </c>
      <c r="D24" s="190"/>
      <c r="E24" s="35">
        <v>57.3</v>
      </c>
      <c r="F24" s="4">
        <v>2053</v>
      </c>
      <c r="G24" s="4">
        <f t="shared" si="19"/>
        <v>117636.9</v>
      </c>
      <c r="H24" s="21" t="s">
        <v>133</v>
      </c>
      <c r="I24" s="15">
        <v>13</v>
      </c>
      <c r="J24" s="17">
        <v>2000</v>
      </c>
      <c r="K24" s="16">
        <f t="shared" si="1"/>
        <v>153.84615384615384</v>
      </c>
      <c r="L24" s="15">
        <v>13</v>
      </c>
      <c r="M24" s="17">
        <f t="shared" si="20"/>
        <v>1924.687500000002</v>
      </c>
      <c r="N24" s="16">
        <f t="shared" si="3"/>
        <v>148.05288461538478</v>
      </c>
      <c r="O24" s="18">
        <f t="shared" si="4"/>
        <v>0</v>
      </c>
      <c r="P24" s="19">
        <f t="shared" si="5"/>
        <v>-5.7932692307690559</v>
      </c>
      <c r="Q24" s="20">
        <f t="shared" si="6"/>
        <v>0.96234375000000116</v>
      </c>
      <c r="R24" s="170"/>
      <c r="S24" s="27">
        <v>0.76597222222222228</v>
      </c>
      <c r="T24" s="27">
        <v>0.81041666666666667</v>
      </c>
      <c r="U24" s="4">
        <f t="shared" si="22"/>
        <v>5.9999999999999787</v>
      </c>
      <c r="V24" s="21">
        <f t="shared" si="21"/>
        <v>63.999999999999929</v>
      </c>
      <c r="W24" s="22"/>
      <c r="X24" s="4"/>
      <c r="Y24" s="4"/>
      <c r="Z24" s="4"/>
      <c r="AA24" s="162"/>
      <c r="AB24" s="162"/>
      <c r="AC24" s="24"/>
      <c r="AD24" s="24"/>
      <c r="AE24" s="18">
        <f t="shared" si="8"/>
        <v>-75.312499999997954</v>
      </c>
      <c r="AF24" s="20">
        <f t="shared" si="9"/>
        <v>0.96234375000000105</v>
      </c>
      <c r="AG24" s="170"/>
    </row>
    <row r="25" spans="1:33" ht="15.75" customHeight="1">
      <c r="A25" s="193" t="s">
        <v>1379</v>
      </c>
      <c r="B25" s="35" t="s">
        <v>78</v>
      </c>
      <c r="C25" s="190" t="s">
        <v>95</v>
      </c>
      <c r="D25" s="190"/>
      <c r="E25" s="35">
        <v>53.68</v>
      </c>
      <c r="F25" s="4">
        <v>500</v>
      </c>
      <c r="G25" s="4">
        <f t="shared" si="19"/>
        <v>26840</v>
      </c>
      <c r="H25" s="21">
        <v>2</v>
      </c>
      <c r="I25" s="15">
        <v>16</v>
      </c>
      <c r="J25" s="17">
        <v>1500</v>
      </c>
      <c r="K25" s="16">
        <f t="shared" si="1"/>
        <v>93.75</v>
      </c>
      <c r="L25" s="15">
        <v>16</v>
      </c>
      <c r="M25" s="17">
        <f t="shared" si="20"/>
        <v>1428.5714285714337</v>
      </c>
      <c r="N25" s="16">
        <f t="shared" si="3"/>
        <v>89.285714285714604</v>
      </c>
      <c r="O25" s="18">
        <f t="shared" si="4"/>
        <v>0</v>
      </c>
      <c r="P25" s="19">
        <f t="shared" si="5"/>
        <v>-4.4642857142853956</v>
      </c>
      <c r="Q25" s="20">
        <f t="shared" si="6"/>
        <v>0.95238095238095577</v>
      </c>
      <c r="R25" s="170"/>
      <c r="S25" s="27">
        <v>0.81458333333333333</v>
      </c>
      <c r="T25" s="27">
        <v>0.82916666666666661</v>
      </c>
      <c r="U25" s="4">
        <f t="shared" si="22"/>
        <v>5.9999999999999787</v>
      </c>
      <c r="V25" s="21">
        <f t="shared" si="21"/>
        <v>20.999999999999925</v>
      </c>
      <c r="W25" s="22">
        <f>T25</f>
        <v>0.82916666666666661</v>
      </c>
      <c r="X25" s="22">
        <f>S26</f>
        <v>0.86874999999999991</v>
      </c>
      <c r="Y25" s="4"/>
      <c r="Z25" s="4"/>
      <c r="AA25" s="162"/>
      <c r="AB25" s="162"/>
      <c r="AC25" s="24"/>
      <c r="AD25" s="24"/>
      <c r="AE25" s="18">
        <f t="shared" si="8"/>
        <v>-71.428571428566329</v>
      </c>
      <c r="AF25" s="20">
        <f t="shared" si="9"/>
        <v>0.95238095238095577</v>
      </c>
      <c r="AG25" s="170"/>
    </row>
    <row r="26" spans="1:33" ht="15.75" customHeight="1">
      <c r="A26" s="193" t="s">
        <v>1379</v>
      </c>
      <c r="B26" s="35" t="s">
        <v>78</v>
      </c>
      <c r="C26" s="190" t="s">
        <v>95</v>
      </c>
      <c r="D26" s="190"/>
      <c r="E26" s="35">
        <v>53.68</v>
      </c>
      <c r="F26" s="4">
        <v>1449</v>
      </c>
      <c r="G26" s="4">
        <f t="shared" si="19"/>
        <v>77782.319999999992</v>
      </c>
      <c r="H26" s="21" t="s">
        <v>133</v>
      </c>
      <c r="I26" s="15">
        <v>16</v>
      </c>
      <c r="J26" s="17">
        <v>1500</v>
      </c>
      <c r="K26" s="16">
        <f t="shared" si="1"/>
        <v>93.75</v>
      </c>
      <c r="L26" s="15">
        <v>16</v>
      </c>
      <c r="M26" s="17">
        <f t="shared" si="20"/>
        <v>1425.2459016393457</v>
      </c>
      <c r="N26" s="16">
        <f t="shared" si="3"/>
        <v>89.077868852459105</v>
      </c>
      <c r="O26" s="18">
        <f t="shared" si="4"/>
        <v>0</v>
      </c>
      <c r="P26" s="19">
        <f t="shared" si="5"/>
        <v>-4.6721311475408953</v>
      </c>
      <c r="Q26" s="20">
        <f t="shared" si="6"/>
        <v>0.95016393442623048</v>
      </c>
      <c r="R26" s="170"/>
      <c r="S26" s="27">
        <v>0.86874999999999991</v>
      </c>
      <c r="T26" s="27">
        <v>0.91111111111111098</v>
      </c>
      <c r="U26" s="4">
        <f t="shared" si="22"/>
        <v>56.999999999999957</v>
      </c>
      <c r="V26" s="21">
        <f t="shared" si="21"/>
        <v>60.999999999999943</v>
      </c>
      <c r="W26" s="22"/>
      <c r="X26" s="27"/>
      <c r="Y26" s="27"/>
      <c r="Z26" s="27"/>
      <c r="AA26" s="162"/>
      <c r="AB26" s="162"/>
      <c r="AC26" s="24"/>
      <c r="AD26" s="24"/>
      <c r="AE26" s="18">
        <f t="shared" si="8"/>
        <v>-74.754098360654325</v>
      </c>
      <c r="AF26" s="20">
        <f t="shared" si="9"/>
        <v>0.95016393442623048</v>
      </c>
      <c r="AG26" s="170"/>
    </row>
    <row r="27" spans="1:33" ht="15.75" customHeight="1">
      <c r="A27" s="193" t="s">
        <v>1379</v>
      </c>
      <c r="B27" s="35" t="s">
        <v>1376</v>
      </c>
      <c r="C27" s="171"/>
      <c r="D27" s="171"/>
      <c r="E27" s="36"/>
      <c r="F27" s="4"/>
      <c r="G27" s="4"/>
      <c r="H27" s="4"/>
      <c r="I27" s="29">
        <v>15</v>
      </c>
      <c r="J27" s="17">
        <v>1833.3333333333333</v>
      </c>
      <c r="K27" s="16">
        <f t="shared" si="1"/>
        <v>122.22222222222221</v>
      </c>
      <c r="L27" s="29">
        <v>15</v>
      </c>
      <c r="M27" s="17">
        <f>AVERAGE(M21:M26)</f>
        <v>1756.5322865166117</v>
      </c>
      <c r="N27" s="16">
        <f t="shared" si="3"/>
        <v>117.10215243444078</v>
      </c>
      <c r="O27" s="18">
        <f t="shared" si="4"/>
        <v>0</v>
      </c>
      <c r="P27" s="19">
        <f t="shared" si="5"/>
        <v>-5.1200697877814321</v>
      </c>
      <c r="Q27" s="20">
        <f t="shared" si="6"/>
        <v>0.95810851991815194</v>
      </c>
      <c r="R27" s="170"/>
      <c r="S27" s="27"/>
      <c r="T27" s="27"/>
      <c r="U27" s="16"/>
      <c r="V27" s="21"/>
      <c r="W27" s="16"/>
      <c r="X27" s="16"/>
      <c r="Y27" s="30">
        <f>SUM(Y21:Y26)</f>
        <v>0</v>
      </c>
      <c r="Z27" s="30">
        <f>SUM(Z21:Z26)</f>
        <v>0</v>
      </c>
      <c r="AA27" s="166"/>
      <c r="AB27" s="166"/>
      <c r="AC27" s="30">
        <v>6</v>
      </c>
      <c r="AD27" s="30">
        <f>SUM(AD21:AD26)</f>
        <v>0</v>
      </c>
      <c r="AE27" s="18">
        <f t="shared" si="8"/>
        <v>-76.801046816721509</v>
      </c>
      <c r="AF27" s="20">
        <f t="shared" si="9"/>
        <v>0.95810851991815194</v>
      </c>
      <c r="AG27" s="170"/>
    </row>
    <row r="28" spans="1:33" ht="15.75" customHeight="1">
      <c r="A28" s="191" t="s">
        <v>1380</v>
      </c>
      <c r="B28" s="35" t="s">
        <v>97</v>
      </c>
      <c r="C28" s="190" t="s">
        <v>98</v>
      </c>
      <c r="D28" s="190"/>
      <c r="E28" s="35">
        <v>31.29</v>
      </c>
      <c r="F28" s="4">
        <v>6600</v>
      </c>
      <c r="G28" s="4">
        <f t="shared" ref="G28:G35" si="23">E28*F28</f>
        <v>206514</v>
      </c>
      <c r="H28" s="21">
        <v>2</v>
      </c>
      <c r="I28" s="15">
        <v>18</v>
      </c>
      <c r="J28" s="17">
        <v>2400</v>
      </c>
      <c r="K28" s="16">
        <f t="shared" si="1"/>
        <v>133.33333333333334</v>
      </c>
      <c r="L28" s="15">
        <v>18</v>
      </c>
      <c r="M28" s="17">
        <f t="shared" ref="M28:M35" si="24">F28/V28*60</f>
        <v>2289.0173410404618</v>
      </c>
      <c r="N28" s="16">
        <f t="shared" si="3"/>
        <v>127.16763005780344</v>
      </c>
      <c r="O28" s="18">
        <f t="shared" si="4"/>
        <v>0</v>
      </c>
      <c r="P28" s="19">
        <f t="shared" si="5"/>
        <v>-6.165703275529907</v>
      </c>
      <c r="Q28" s="20">
        <f t="shared" si="6"/>
        <v>0.9537572254335257</v>
      </c>
      <c r="R28" s="170">
        <f>Q36</f>
        <v>0.95666160734141847</v>
      </c>
      <c r="S28" s="27">
        <v>0.125</v>
      </c>
      <c r="T28" s="27">
        <v>0.24513888888888891</v>
      </c>
      <c r="U28" s="4"/>
      <c r="V28" s="21">
        <f t="shared" ref="V28:V35" si="25">(T28-S28)*24*60</f>
        <v>173.00000000000003</v>
      </c>
      <c r="W28" s="22">
        <f>T28</f>
        <v>0.24513888888888891</v>
      </c>
      <c r="X28" s="22">
        <f>S29</f>
        <v>0.26319444444444445</v>
      </c>
      <c r="Y28" s="22"/>
      <c r="Z28" s="22"/>
      <c r="AA28" s="162"/>
      <c r="AB28" s="162"/>
      <c r="AC28" s="24">
        <v>8</v>
      </c>
      <c r="AD28" s="24"/>
      <c r="AE28" s="18">
        <f t="shared" si="8"/>
        <v>-110.98265895953818</v>
      </c>
      <c r="AF28" s="20">
        <f t="shared" si="9"/>
        <v>0.9537572254335257</v>
      </c>
      <c r="AG28" s="170">
        <f>AF36</f>
        <v>0.95666160734141859</v>
      </c>
    </row>
    <row r="29" spans="1:33" ht="15.75" customHeight="1">
      <c r="A29" s="191" t="s">
        <v>54</v>
      </c>
      <c r="B29" s="35" t="s">
        <v>97</v>
      </c>
      <c r="C29" s="190" t="s">
        <v>99</v>
      </c>
      <c r="D29" s="190"/>
      <c r="E29" s="35">
        <v>25.98</v>
      </c>
      <c r="F29" s="4">
        <v>3668</v>
      </c>
      <c r="G29" s="4">
        <f t="shared" si="23"/>
        <v>95294.64</v>
      </c>
      <c r="H29" s="21" t="s">
        <v>133</v>
      </c>
      <c r="I29" s="15">
        <v>21</v>
      </c>
      <c r="J29" s="17">
        <v>2400</v>
      </c>
      <c r="K29" s="16">
        <f t="shared" si="1"/>
        <v>114.28571428571429</v>
      </c>
      <c r="L29" s="15">
        <v>21</v>
      </c>
      <c r="M29" s="17">
        <f t="shared" si="24"/>
        <v>2292.5000000000005</v>
      </c>
      <c r="N29" s="16">
        <f t="shared" si="3"/>
        <v>109.16666666666669</v>
      </c>
      <c r="O29" s="18">
        <f t="shared" si="4"/>
        <v>0</v>
      </c>
      <c r="P29" s="19">
        <f t="shared" si="5"/>
        <v>-5.1190476190476062</v>
      </c>
      <c r="Q29" s="20">
        <f t="shared" si="6"/>
        <v>0.95520833333333344</v>
      </c>
      <c r="R29" s="170"/>
      <c r="S29" s="27">
        <v>0.26319444444444445</v>
      </c>
      <c r="T29" s="27">
        <v>0.3298611111111111</v>
      </c>
      <c r="U29" s="4">
        <f t="shared" ref="U29:U35" si="26">(S29-T28)*24*60</f>
        <v>25.999999999999986</v>
      </c>
      <c r="V29" s="21">
        <f t="shared" si="25"/>
        <v>95.999999999999972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-107.49999999999955</v>
      </c>
      <c r="AF29" s="20">
        <f t="shared" si="9"/>
        <v>0.95520833333333355</v>
      </c>
      <c r="AG29" s="170"/>
    </row>
    <row r="30" spans="1:33" ht="15.75" customHeight="1">
      <c r="A30" s="191" t="s">
        <v>54</v>
      </c>
      <c r="B30" s="35" t="s">
        <v>97</v>
      </c>
      <c r="C30" s="190" t="s">
        <v>100</v>
      </c>
      <c r="D30" s="190"/>
      <c r="E30" s="35">
        <v>26.2</v>
      </c>
      <c r="F30" s="4">
        <v>3600</v>
      </c>
      <c r="G30" s="4">
        <f t="shared" si="23"/>
        <v>94320</v>
      </c>
      <c r="H30" s="21">
        <v>2</v>
      </c>
      <c r="I30" s="15">
        <v>20</v>
      </c>
      <c r="J30" s="17">
        <v>2400</v>
      </c>
      <c r="K30" s="16">
        <f t="shared" si="1"/>
        <v>120</v>
      </c>
      <c r="L30" s="15">
        <v>20</v>
      </c>
      <c r="M30" s="17">
        <f t="shared" si="24"/>
        <v>2297.872340425532</v>
      </c>
      <c r="N30" s="16">
        <f t="shared" si="3"/>
        <v>114.8936170212766</v>
      </c>
      <c r="O30" s="18">
        <f t="shared" si="4"/>
        <v>0</v>
      </c>
      <c r="P30" s="19">
        <f t="shared" si="5"/>
        <v>-5.1063829787234027</v>
      </c>
      <c r="Q30" s="20">
        <f t="shared" si="6"/>
        <v>0.95744680851063835</v>
      </c>
      <c r="R30" s="170"/>
      <c r="S30" s="27">
        <v>0.33402777777777776</v>
      </c>
      <c r="T30" s="27">
        <v>0.39930555555555552</v>
      </c>
      <c r="U30" s="4">
        <f t="shared" si="26"/>
        <v>5.9999999999999787</v>
      </c>
      <c r="V30" s="21">
        <f t="shared" si="25"/>
        <v>93.999999999999986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-102.127659574468</v>
      </c>
      <c r="AF30" s="20">
        <f t="shared" si="9"/>
        <v>0.95744680851063835</v>
      </c>
      <c r="AG30" s="170"/>
    </row>
    <row r="31" spans="1:33" ht="15.75" customHeight="1">
      <c r="A31" s="191" t="s">
        <v>54</v>
      </c>
      <c r="B31" s="35" t="s">
        <v>97</v>
      </c>
      <c r="C31" s="190" t="s">
        <v>101</v>
      </c>
      <c r="D31" s="190"/>
      <c r="E31" s="35">
        <v>25.99</v>
      </c>
      <c r="F31" s="4">
        <v>2700</v>
      </c>
      <c r="G31" s="4">
        <f t="shared" si="23"/>
        <v>70173</v>
      </c>
      <c r="H31" s="21">
        <v>2</v>
      </c>
      <c r="I31" s="15">
        <v>14</v>
      </c>
      <c r="J31" s="17">
        <v>2400</v>
      </c>
      <c r="K31" s="16">
        <f t="shared" si="1"/>
        <v>171.42857142857142</v>
      </c>
      <c r="L31" s="15">
        <v>14</v>
      </c>
      <c r="M31" s="17">
        <f t="shared" si="24"/>
        <v>2314.2857142857147</v>
      </c>
      <c r="N31" s="16">
        <f t="shared" si="3"/>
        <v>165.30612244897961</v>
      </c>
      <c r="O31" s="18">
        <f t="shared" si="4"/>
        <v>0</v>
      </c>
      <c r="P31" s="19">
        <f t="shared" si="5"/>
        <v>-6.1224489795918089</v>
      </c>
      <c r="Q31" s="20">
        <f t="shared" si="6"/>
        <v>0.96428571428571441</v>
      </c>
      <c r="R31" s="170"/>
      <c r="S31" s="27">
        <v>0.40277777777777773</v>
      </c>
      <c r="T31" s="27">
        <v>0.45138888888888884</v>
      </c>
      <c r="U31" s="4">
        <f t="shared" si="26"/>
        <v>4.9999999999999822</v>
      </c>
      <c r="V31" s="21">
        <f t="shared" si="25"/>
        <v>69.999999999999986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-85.714285714285325</v>
      </c>
      <c r="AF31" s="20">
        <f t="shared" si="9"/>
        <v>0.96428571428571441</v>
      </c>
      <c r="AG31" s="170"/>
    </row>
    <row r="32" spans="1:33" ht="15.75" customHeight="1">
      <c r="A32" s="191" t="s">
        <v>54</v>
      </c>
      <c r="B32" s="35" t="s">
        <v>97</v>
      </c>
      <c r="C32" s="190" t="s">
        <v>102</v>
      </c>
      <c r="D32" s="190"/>
      <c r="E32" s="35">
        <v>26.18</v>
      </c>
      <c r="F32" s="4">
        <v>2169</v>
      </c>
      <c r="G32" s="4">
        <f t="shared" si="23"/>
        <v>56784.42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4"/>
        <v>2283.1578947368439</v>
      </c>
      <c r="N32" s="16">
        <f t="shared" si="3"/>
        <v>120.16620498614968</v>
      </c>
      <c r="O32" s="18">
        <f t="shared" si="4"/>
        <v>0</v>
      </c>
      <c r="P32" s="19">
        <f t="shared" si="5"/>
        <v>-6.1495844875345256</v>
      </c>
      <c r="Q32" s="20">
        <f t="shared" si="6"/>
        <v>0.951315789473685</v>
      </c>
      <c r="R32" s="170"/>
      <c r="S32" s="27">
        <v>0.45694444444444438</v>
      </c>
      <c r="T32" s="27">
        <v>0.49652777777777768</v>
      </c>
      <c r="U32" s="4">
        <f t="shared" si="26"/>
        <v>7.9999999999999716</v>
      </c>
      <c r="V32" s="21">
        <f t="shared" si="25"/>
        <v>56.999999999999957</v>
      </c>
      <c r="W32" s="22">
        <f>T32</f>
        <v>0.49652777777777768</v>
      </c>
      <c r="X32" s="22">
        <f>S33</f>
        <v>0.53749999999999987</v>
      </c>
      <c r="Y32" s="22"/>
      <c r="Z32" s="22"/>
      <c r="AA32" s="162"/>
      <c r="AB32" s="162"/>
      <c r="AC32" s="24"/>
      <c r="AD32" s="24"/>
      <c r="AE32" s="18">
        <f t="shared" si="8"/>
        <v>-116.8421052631561</v>
      </c>
      <c r="AF32" s="20">
        <f t="shared" si="9"/>
        <v>0.951315789473685</v>
      </c>
      <c r="AG32" s="170"/>
    </row>
    <row r="33" spans="1:33" ht="15.75" customHeight="1">
      <c r="A33" s="191" t="s">
        <v>54</v>
      </c>
      <c r="B33" s="35" t="s">
        <v>97</v>
      </c>
      <c r="C33" s="190" t="s">
        <v>98</v>
      </c>
      <c r="D33" s="190"/>
      <c r="E33" s="35">
        <v>31.29</v>
      </c>
      <c r="F33" s="4">
        <v>4774</v>
      </c>
      <c r="G33" s="4">
        <f t="shared" si="23"/>
        <v>149378.46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si="24"/>
        <v>2291.5199999999995</v>
      </c>
      <c r="N33" s="16">
        <f t="shared" si="3"/>
        <v>127.30666666666664</v>
      </c>
      <c r="O33" s="18">
        <f t="shared" si="4"/>
        <v>0</v>
      </c>
      <c r="P33" s="19">
        <f t="shared" si="5"/>
        <v>-6.0266666666666993</v>
      </c>
      <c r="Q33" s="20">
        <f t="shared" si="6"/>
        <v>0.95479999999999976</v>
      </c>
      <c r="R33" s="170"/>
      <c r="S33" s="27">
        <v>0.53749999999999987</v>
      </c>
      <c r="T33" s="27">
        <v>0.62430555555555545</v>
      </c>
      <c r="U33" s="4">
        <f t="shared" si="26"/>
        <v>58.99999999999995</v>
      </c>
      <c r="V33" s="21">
        <f t="shared" si="25"/>
        <v>125.00000000000003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-108.48000000000047</v>
      </c>
      <c r="AF33" s="20">
        <f t="shared" si="9"/>
        <v>0.95479999999999976</v>
      </c>
      <c r="AG33" s="170"/>
    </row>
    <row r="34" spans="1:33" ht="15.75" customHeight="1">
      <c r="A34" s="191" t="s">
        <v>54</v>
      </c>
      <c r="B34" s="35" t="s">
        <v>97</v>
      </c>
      <c r="C34" s="190" t="s">
        <v>100</v>
      </c>
      <c r="D34" s="190"/>
      <c r="E34" s="35">
        <v>26.2</v>
      </c>
      <c r="F34" s="4">
        <v>2785</v>
      </c>
      <c r="G34" s="4">
        <f t="shared" si="23"/>
        <v>72967</v>
      </c>
      <c r="H34" s="21" t="s">
        <v>133</v>
      </c>
      <c r="I34" s="15">
        <v>20</v>
      </c>
      <c r="J34" s="17">
        <v>2400</v>
      </c>
      <c r="K34" s="16">
        <f t="shared" si="1"/>
        <v>120</v>
      </c>
      <c r="L34" s="15">
        <v>20</v>
      </c>
      <c r="M34" s="17">
        <f t="shared" si="24"/>
        <v>2289.041095890409</v>
      </c>
      <c r="N34" s="16">
        <f t="shared" si="3"/>
        <v>114.45205479452045</v>
      </c>
      <c r="O34" s="18">
        <f t="shared" si="4"/>
        <v>0</v>
      </c>
      <c r="P34" s="19">
        <f t="shared" si="5"/>
        <v>-5.5479452054795502</v>
      </c>
      <c r="Q34" s="20">
        <f t="shared" si="6"/>
        <v>0.95376712328767044</v>
      </c>
      <c r="R34" s="170"/>
      <c r="S34" s="27">
        <v>0.62986111111111098</v>
      </c>
      <c r="T34" s="27">
        <v>0.68055555555555547</v>
      </c>
      <c r="U34" s="4">
        <f t="shared" si="26"/>
        <v>7.9999999999999716</v>
      </c>
      <c r="V34" s="21">
        <f t="shared" si="25"/>
        <v>73.000000000000057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-110.958904109591</v>
      </c>
      <c r="AF34" s="20">
        <f t="shared" si="9"/>
        <v>0.95376712328767044</v>
      </c>
      <c r="AG34" s="170"/>
    </row>
    <row r="35" spans="1:33" ht="15.75" customHeight="1">
      <c r="A35" s="191" t="s">
        <v>54</v>
      </c>
      <c r="B35" s="35" t="s">
        <v>97</v>
      </c>
      <c r="C35" s="190" t="s">
        <v>101</v>
      </c>
      <c r="D35" s="190"/>
      <c r="E35" s="35">
        <v>25.99</v>
      </c>
      <c r="F35" s="4">
        <v>2272</v>
      </c>
      <c r="G35" s="4">
        <f t="shared" si="23"/>
        <v>59049.279999999999</v>
      </c>
      <c r="H35" s="21" t="s">
        <v>133</v>
      </c>
      <c r="I35" s="15">
        <v>14</v>
      </c>
      <c r="J35" s="17">
        <v>2400</v>
      </c>
      <c r="K35" s="16">
        <f t="shared" si="1"/>
        <v>171.42857142857142</v>
      </c>
      <c r="L35" s="15">
        <v>14</v>
      </c>
      <c r="M35" s="17">
        <f t="shared" si="24"/>
        <v>2310.5084745762733</v>
      </c>
      <c r="N35" s="16">
        <f t="shared" si="3"/>
        <v>165.03631961259094</v>
      </c>
      <c r="O35" s="18">
        <f t="shared" si="4"/>
        <v>0</v>
      </c>
      <c r="P35" s="19">
        <f t="shared" si="5"/>
        <v>-6.3922518159804724</v>
      </c>
      <c r="Q35" s="20">
        <f t="shared" si="6"/>
        <v>0.96271186440678058</v>
      </c>
      <c r="R35" s="170"/>
      <c r="S35" s="27">
        <v>0.68402777777777768</v>
      </c>
      <c r="T35" s="27">
        <v>0.72499999999999987</v>
      </c>
      <c r="U35" s="4">
        <f t="shared" si="26"/>
        <v>4.9999999999999822</v>
      </c>
      <c r="V35" s="21">
        <f t="shared" si="25"/>
        <v>58.99999999999995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-89.491525423726671</v>
      </c>
      <c r="AF35" s="20">
        <f t="shared" si="9"/>
        <v>0.96271186440678058</v>
      </c>
      <c r="AG35" s="170"/>
    </row>
    <row r="36" spans="1:33" ht="15.75" customHeight="1">
      <c r="A36" s="191" t="s">
        <v>54</v>
      </c>
      <c r="B36" s="35" t="s">
        <v>48</v>
      </c>
      <c r="C36" s="171"/>
      <c r="D36" s="171"/>
      <c r="E36" s="36"/>
      <c r="F36" s="4"/>
      <c r="G36" s="4"/>
      <c r="H36" s="4"/>
      <c r="I36" s="29">
        <v>18</v>
      </c>
      <c r="J36" s="17">
        <v>2400</v>
      </c>
      <c r="K36" s="16">
        <f t="shared" si="1"/>
        <v>133.33333333333334</v>
      </c>
      <c r="L36" s="29">
        <v>18</v>
      </c>
      <c r="M36" s="17">
        <f>AVERAGE(M28:M35)</f>
        <v>2295.9878576194046</v>
      </c>
      <c r="N36" s="16">
        <f t="shared" si="3"/>
        <v>127.55488097885581</v>
      </c>
      <c r="O36" s="18">
        <f t="shared" si="4"/>
        <v>0</v>
      </c>
      <c r="P36" s="19">
        <f t="shared" si="5"/>
        <v>-5.7784523544775368</v>
      </c>
      <c r="Q36" s="20">
        <f t="shared" si="6"/>
        <v>0.95666160734141847</v>
      </c>
      <c r="R36" s="170"/>
      <c r="S36" s="27"/>
      <c r="T36" s="27"/>
      <c r="U36" s="4"/>
      <c r="V36" s="21"/>
      <c r="W36" s="4"/>
      <c r="X36" s="4"/>
      <c r="Y36" s="30">
        <f>SUM(Y28:Y35)</f>
        <v>0</v>
      </c>
      <c r="Z36" s="30">
        <f>SUM(Z28:Z35)</f>
        <v>0</v>
      </c>
      <c r="AA36" s="166"/>
      <c r="AB36" s="166"/>
      <c r="AC36" s="30">
        <v>8</v>
      </c>
      <c r="AD36" s="30">
        <f>SUM(AD28:AD35)</f>
        <v>0</v>
      </c>
      <c r="AE36" s="18">
        <f t="shared" si="8"/>
        <v>-104.01214238059538</v>
      </c>
      <c r="AF36" s="20">
        <f t="shared" si="9"/>
        <v>0.95666160734141859</v>
      </c>
      <c r="AG36" s="170"/>
    </row>
    <row r="37" spans="1:33" ht="15.75" customHeight="1">
      <c r="A37" s="188" t="s">
        <v>60</v>
      </c>
      <c r="B37" s="35" t="s">
        <v>97</v>
      </c>
      <c r="C37" s="163" t="s">
        <v>103</v>
      </c>
      <c r="D37" s="163"/>
      <c r="E37" s="35">
        <v>26.2</v>
      </c>
      <c r="F37" s="4">
        <v>4700</v>
      </c>
      <c r="G37" s="4">
        <f t="shared" ref="G37:G45" si="27">E37*F37</f>
        <v>123140</v>
      </c>
      <c r="H37" s="21">
        <v>2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ref="M37:M45" si="28">F37/V37*60</f>
        <v>2292.682926829269</v>
      </c>
      <c r="N37" s="16">
        <f t="shared" si="3"/>
        <v>127.37127371273716</v>
      </c>
      <c r="O37" s="18">
        <f t="shared" si="4"/>
        <v>0</v>
      </c>
      <c r="P37" s="19">
        <f t="shared" si="5"/>
        <v>-5.9620596205961789</v>
      </c>
      <c r="Q37" s="20">
        <f t="shared" si="6"/>
        <v>0.95528455284552871</v>
      </c>
      <c r="R37" s="170">
        <f>Q46</f>
        <v>0.95694657827736784</v>
      </c>
      <c r="S37" s="27">
        <v>0.125</v>
      </c>
      <c r="T37" s="27">
        <v>0.21041666666666664</v>
      </c>
      <c r="U37" s="4"/>
      <c r="V37" s="21">
        <f t="shared" ref="V37:V45" si="29">(T37-S37)*24*60</f>
        <v>122.99999999999996</v>
      </c>
      <c r="W37" s="27">
        <f>T37</f>
        <v>0.21041666666666664</v>
      </c>
      <c r="X37" s="27">
        <f>S38</f>
        <v>0.22916666666666666</v>
      </c>
      <c r="Y37" s="27"/>
      <c r="Z37" s="27"/>
      <c r="AA37" s="162"/>
      <c r="AB37" s="162"/>
      <c r="AC37" s="24">
        <v>9</v>
      </c>
      <c r="AD37" s="24"/>
      <c r="AE37" s="18">
        <f t="shared" si="8"/>
        <v>-107.31707317073096</v>
      </c>
      <c r="AF37" s="20">
        <f t="shared" si="9"/>
        <v>0.95528455284552871</v>
      </c>
      <c r="AG37" s="170">
        <f>AF46</f>
        <v>0.95694657827736795</v>
      </c>
    </row>
    <row r="38" spans="1:33" ht="15.75" customHeight="1">
      <c r="A38" s="188" t="s">
        <v>60</v>
      </c>
      <c r="B38" s="35" t="s">
        <v>97</v>
      </c>
      <c r="C38" s="163" t="s">
        <v>104</v>
      </c>
      <c r="D38" s="163"/>
      <c r="E38" s="35">
        <v>20.52</v>
      </c>
      <c r="F38" s="4">
        <v>2800</v>
      </c>
      <c r="G38" s="4">
        <f t="shared" si="27"/>
        <v>57456</v>
      </c>
      <c r="H38" s="21">
        <v>2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2301.3698630136978</v>
      </c>
      <c r="N38" s="16">
        <f t="shared" si="3"/>
        <v>127.85388127853876</v>
      </c>
      <c r="O38" s="18">
        <f t="shared" si="4"/>
        <v>0</v>
      </c>
      <c r="P38" s="19">
        <f t="shared" si="5"/>
        <v>-5.479452054794578</v>
      </c>
      <c r="Q38" s="20">
        <f t="shared" si="6"/>
        <v>0.95890410958904071</v>
      </c>
      <c r="R38" s="170"/>
      <c r="S38" s="27">
        <v>0.22916666666666666</v>
      </c>
      <c r="T38" s="27">
        <v>0.27986111111111112</v>
      </c>
      <c r="U38" s="4">
        <f t="shared" ref="U38:U45" si="30">(S38-T37)*24*60</f>
        <v>27.000000000000025</v>
      </c>
      <c r="V38" s="21">
        <f t="shared" si="29"/>
        <v>73.000000000000014</v>
      </c>
      <c r="W38" s="4"/>
      <c r="X38" s="4"/>
      <c r="Y38" s="4"/>
      <c r="Z38" s="4"/>
      <c r="AA38" s="162"/>
      <c r="AB38" s="162"/>
      <c r="AC38" s="24"/>
      <c r="AD38" s="24"/>
      <c r="AE38" s="18">
        <f t="shared" si="8"/>
        <v>-98.630136986302205</v>
      </c>
      <c r="AF38" s="20">
        <f t="shared" si="9"/>
        <v>0.95890410958904071</v>
      </c>
      <c r="AG38" s="170"/>
    </row>
    <row r="39" spans="1:33">
      <c r="A39" s="189" t="s">
        <v>60</v>
      </c>
      <c r="B39" s="35" t="s">
        <v>97</v>
      </c>
      <c r="C39" s="163" t="s">
        <v>105</v>
      </c>
      <c r="D39" s="163"/>
      <c r="E39" s="35">
        <v>26.39</v>
      </c>
      <c r="F39" s="4">
        <v>4300</v>
      </c>
      <c r="G39" s="4">
        <f t="shared" si="27"/>
        <v>113477</v>
      </c>
      <c r="H39" s="21">
        <v>2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2303.5714285714289</v>
      </c>
      <c r="N39" s="16">
        <f t="shared" si="3"/>
        <v>121.24060150375942</v>
      </c>
      <c r="O39" s="18">
        <f t="shared" si="4"/>
        <v>0</v>
      </c>
      <c r="P39" s="19">
        <f t="shared" si="5"/>
        <v>-5.0751879699247837</v>
      </c>
      <c r="Q39" s="20">
        <f t="shared" si="6"/>
        <v>0.95982142857142883</v>
      </c>
      <c r="R39" s="170"/>
      <c r="S39" s="27">
        <v>0.28472222222222221</v>
      </c>
      <c r="T39" s="27">
        <v>0.36249999999999999</v>
      </c>
      <c r="U39" s="4">
        <f t="shared" si="30"/>
        <v>6.9999999999999751</v>
      </c>
      <c r="V39" s="21">
        <f t="shared" si="29"/>
        <v>112</v>
      </c>
      <c r="W39" s="4"/>
      <c r="X39" s="4"/>
      <c r="Y39" s="4"/>
      <c r="Z39" s="4"/>
      <c r="AA39" s="162"/>
      <c r="AB39" s="162"/>
      <c r="AC39" s="24"/>
      <c r="AD39" s="24"/>
      <c r="AE39" s="18">
        <f t="shared" si="8"/>
        <v>-96.428571428571104</v>
      </c>
      <c r="AF39" s="20">
        <f t="shared" si="9"/>
        <v>0.95982142857142871</v>
      </c>
      <c r="AG39" s="170"/>
    </row>
    <row r="40" spans="1:33">
      <c r="A40" s="189" t="s">
        <v>60</v>
      </c>
      <c r="B40" s="35" t="s">
        <v>97</v>
      </c>
      <c r="C40" s="163" t="s">
        <v>107</v>
      </c>
      <c r="D40" s="163"/>
      <c r="E40" s="35">
        <v>20.52</v>
      </c>
      <c r="F40" s="4">
        <v>3367</v>
      </c>
      <c r="G40" s="4">
        <f t="shared" si="27"/>
        <v>69090.84</v>
      </c>
      <c r="H40" s="21" t="s">
        <v>133</v>
      </c>
      <c r="I40" s="15">
        <v>18</v>
      </c>
      <c r="J40" s="17">
        <v>2400</v>
      </c>
      <c r="K40" s="16">
        <f t="shared" si="1"/>
        <v>133.33333333333334</v>
      </c>
      <c r="L40" s="15">
        <v>18</v>
      </c>
      <c r="M40" s="17">
        <f t="shared" si="28"/>
        <v>2295.681818181818</v>
      </c>
      <c r="N40" s="16">
        <f t="shared" si="3"/>
        <v>127.53787878787878</v>
      </c>
      <c r="O40" s="18">
        <f t="shared" si="4"/>
        <v>0</v>
      </c>
      <c r="P40" s="19">
        <f t="shared" si="5"/>
        <v>-5.795454545454561</v>
      </c>
      <c r="Q40" s="20">
        <f t="shared" si="6"/>
        <v>0.95653409090909081</v>
      </c>
      <c r="R40" s="170"/>
      <c r="S40" s="27">
        <v>0.3659722222222222</v>
      </c>
      <c r="T40" s="27">
        <v>0.42708333333333331</v>
      </c>
      <c r="U40" s="4">
        <f t="shared" si="30"/>
        <v>4.9999999999999822</v>
      </c>
      <c r="V40" s="21">
        <f t="shared" si="29"/>
        <v>88</v>
      </c>
      <c r="W40" s="22"/>
      <c r="X40" s="22"/>
      <c r="Y40" s="22"/>
      <c r="Z40" s="22"/>
      <c r="AA40" s="162"/>
      <c r="AB40" s="162"/>
      <c r="AC40" s="24"/>
      <c r="AD40" s="24"/>
      <c r="AE40" s="18">
        <f t="shared" si="8"/>
        <v>-104.31818181818198</v>
      </c>
      <c r="AF40" s="20">
        <f t="shared" si="9"/>
        <v>0.95653409090909081</v>
      </c>
      <c r="AG40" s="170"/>
    </row>
    <row r="41" spans="1:33">
      <c r="A41" s="189" t="s">
        <v>60</v>
      </c>
      <c r="B41" s="35" t="s">
        <v>97</v>
      </c>
      <c r="C41" s="163" t="s">
        <v>304</v>
      </c>
      <c r="D41" s="163"/>
      <c r="E41" s="35">
        <v>22.69</v>
      </c>
      <c r="F41" s="4">
        <v>3400</v>
      </c>
      <c r="G41" s="4">
        <f t="shared" si="27"/>
        <v>77146</v>
      </c>
      <c r="H41" s="21">
        <v>2</v>
      </c>
      <c r="I41" s="15">
        <v>15</v>
      </c>
      <c r="J41" s="17">
        <v>2400</v>
      </c>
      <c r="K41" s="16">
        <f t="shared" si="1"/>
        <v>160</v>
      </c>
      <c r="L41" s="15">
        <v>15</v>
      </c>
      <c r="M41" s="17">
        <f t="shared" si="28"/>
        <v>2292.1348314606744</v>
      </c>
      <c r="N41" s="16">
        <f t="shared" si="3"/>
        <v>152.80898876404495</v>
      </c>
      <c r="O41" s="18">
        <f t="shared" si="4"/>
        <v>0</v>
      </c>
      <c r="P41" s="19">
        <f t="shared" si="5"/>
        <v>-7.1910112359550453</v>
      </c>
      <c r="Q41" s="20">
        <f t="shared" si="6"/>
        <v>0.95505617977528101</v>
      </c>
      <c r="R41" s="170"/>
      <c r="S41" s="27">
        <v>0.43194444444444441</v>
      </c>
      <c r="T41" s="27">
        <v>0.49374999999999997</v>
      </c>
      <c r="U41" s="4">
        <f t="shared" si="30"/>
        <v>6.9999999999999751</v>
      </c>
      <c r="V41" s="21">
        <f t="shared" si="29"/>
        <v>89</v>
      </c>
      <c r="W41" s="22">
        <f>T41</f>
        <v>0.49374999999999997</v>
      </c>
      <c r="X41" s="22">
        <f>S42</f>
        <v>0.53333333333333333</v>
      </c>
      <c r="Y41" s="22"/>
      <c r="Z41" s="22"/>
      <c r="AA41" s="162"/>
      <c r="AB41" s="162"/>
      <c r="AC41" s="24"/>
      <c r="AD41" s="24"/>
      <c r="AE41" s="18">
        <f t="shared" si="8"/>
        <v>-107.86516853932562</v>
      </c>
      <c r="AF41" s="20">
        <f t="shared" si="9"/>
        <v>0.95505617977528101</v>
      </c>
      <c r="AG41" s="170"/>
    </row>
    <row r="42" spans="1:33">
      <c r="A42" s="189" t="s">
        <v>60</v>
      </c>
      <c r="B42" s="35" t="s">
        <v>97</v>
      </c>
      <c r="C42" s="163" t="s">
        <v>304</v>
      </c>
      <c r="D42" s="163"/>
      <c r="E42" s="35">
        <v>22.69</v>
      </c>
      <c r="F42" s="4">
        <v>4203</v>
      </c>
      <c r="G42" s="4">
        <f t="shared" si="27"/>
        <v>95366.07</v>
      </c>
      <c r="H42" s="21" t="s">
        <v>133</v>
      </c>
      <c r="I42" s="15">
        <v>15</v>
      </c>
      <c r="J42" s="17">
        <v>2400</v>
      </c>
      <c r="K42" s="16">
        <f t="shared" si="1"/>
        <v>160</v>
      </c>
      <c r="L42" s="15">
        <v>15</v>
      </c>
      <c r="M42" s="17">
        <f t="shared" si="28"/>
        <v>2292.5454545454559</v>
      </c>
      <c r="N42" s="16">
        <f t="shared" si="3"/>
        <v>152.83636363636373</v>
      </c>
      <c r="O42" s="18">
        <f t="shared" si="4"/>
        <v>0</v>
      </c>
      <c r="P42" s="19">
        <f t="shared" si="5"/>
        <v>-7.1636363636362717</v>
      </c>
      <c r="Q42" s="20">
        <f t="shared" si="6"/>
        <v>0.95522727272727326</v>
      </c>
      <c r="R42" s="170"/>
      <c r="S42" s="27">
        <v>0.53333333333333333</v>
      </c>
      <c r="T42" s="27">
        <v>0.60972222222222217</v>
      </c>
      <c r="U42" s="4">
        <f t="shared" si="30"/>
        <v>57.000000000000036</v>
      </c>
      <c r="V42" s="21">
        <f t="shared" si="29"/>
        <v>109.99999999999993</v>
      </c>
      <c r="W42" s="22"/>
      <c r="X42" s="22"/>
      <c r="Y42" s="22"/>
      <c r="Z42" s="22"/>
      <c r="AA42" s="162"/>
      <c r="AB42" s="162"/>
      <c r="AC42" s="24"/>
      <c r="AD42" s="24"/>
      <c r="AE42" s="18">
        <f t="shared" si="8"/>
        <v>-107.45454545454413</v>
      </c>
      <c r="AF42" s="20">
        <f t="shared" si="9"/>
        <v>0.95522727272727326</v>
      </c>
      <c r="AG42" s="170"/>
    </row>
    <row r="43" spans="1:33">
      <c r="A43" s="189" t="s">
        <v>60</v>
      </c>
      <c r="B43" s="35" t="s">
        <v>97</v>
      </c>
      <c r="C43" s="163" t="s">
        <v>105</v>
      </c>
      <c r="D43" s="163"/>
      <c r="E43" s="35">
        <v>26.39</v>
      </c>
      <c r="F43" s="4">
        <v>2955</v>
      </c>
      <c r="G43" s="4">
        <f t="shared" si="27"/>
        <v>77982.45</v>
      </c>
      <c r="H43" s="21" t="s">
        <v>133</v>
      </c>
      <c r="I43" s="15">
        <v>19</v>
      </c>
      <c r="J43" s="17">
        <v>2400</v>
      </c>
      <c r="K43" s="16">
        <f t="shared" si="1"/>
        <v>126.31578947368421</v>
      </c>
      <c r="L43" s="15">
        <v>19</v>
      </c>
      <c r="M43" s="17">
        <f t="shared" si="28"/>
        <v>2302.5974025974015</v>
      </c>
      <c r="N43" s="16">
        <f t="shared" si="3"/>
        <v>121.1893369788106</v>
      </c>
      <c r="O43" s="18">
        <f t="shared" si="4"/>
        <v>0</v>
      </c>
      <c r="P43" s="19">
        <f t="shared" si="5"/>
        <v>-5.1264524948736039</v>
      </c>
      <c r="Q43" s="20">
        <f t="shared" si="6"/>
        <v>0.95941558441558394</v>
      </c>
      <c r="R43" s="170"/>
      <c r="S43" s="27">
        <v>0.6152777777777777</v>
      </c>
      <c r="T43" s="27">
        <v>0.66874999999999996</v>
      </c>
      <c r="U43" s="4">
        <f t="shared" si="30"/>
        <v>7.9999999999999716</v>
      </c>
      <c r="V43" s="21">
        <f t="shared" si="29"/>
        <v>77.000000000000043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-97.402597402598531</v>
      </c>
      <c r="AF43" s="20">
        <f t="shared" si="9"/>
        <v>0.95941558441558394</v>
      </c>
      <c r="AG43" s="170"/>
    </row>
    <row r="44" spans="1:33">
      <c r="A44" s="189" t="s">
        <v>60</v>
      </c>
      <c r="B44" s="35" t="s">
        <v>97</v>
      </c>
      <c r="C44" s="163" t="s">
        <v>103</v>
      </c>
      <c r="D44" s="163"/>
      <c r="E44" s="35">
        <v>26.2</v>
      </c>
      <c r="F44" s="4">
        <v>3559</v>
      </c>
      <c r="G44" s="4">
        <f t="shared" si="27"/>
        <v>93245.8</v>
      </c>
      <c r="H44" s="21" t="s">
        <v>133</v>
      </c>
      <c r="I44" s="15">
        <v>18</v>
      </c>
      <c r="J44" s="17">
        <v>2400</v>
      </c>
      <c r="K44" s="16">
        <f t="shared" si="1"/>
        <v>133.33333333333334</v>
      </c>
      <c r="L44" s="15">
        <v>18</v>
      </c>
      <c r="M44" s="17">
        <f t="shared" si="28"/>
        <v>2296.1290322580649</v>
      </c>
      <c r="N44" s="16">
        <f t="shared" si="3"/>
        <v>127.56272401433694</v>
      </c>
      <c r="O44" s="18">
        <f t="shared" si="4"/>
        <v>0</v>
      </c>
      <c r="P44" s="19">
        <f t="shared" si="5"/>
        <v>-5.7706093189964065</v>
      </c>
      <c r="Q44" s="20">
        <f t="shared" si="6"/>
        <v>0.95672043010752694</v>
      </c>
      <c r="R44" s="170"/>
      <c r="S44" s="27">
        <v>0.67430555555555549</v>
      </c>
      <c r="T44" s="27">
        <v>0.73888888888888882</v>
      </c>
      <c r="U44" s="4">
        <f t="shared" si="30"/>
        <v>7.9999999999999716</v>
      </c>
      <c r="V44" s="21">
        <f t="shared" si="29"/>
        <v>92.999999999999986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-103.87096774193515</v>
      </c>
      <c r="AF44" s="20">
        <f t="shared" si="9"/>
        <v>0.95672043010752705</v>
      </c>
      <c r="AG44" s="170"/>
    </row>
    <row r="45" spans="1:33">
      <c r="A45" s="189" t="s">
        <v>60</v>
      </c>
      <c r="B45" s="35" t="s">
        <v>97</v>
      </c>
      <c r="C45" s="163" t="s">
        <v>104</v>
      </c>
      <c r="D45" s="163"/>
      <c r="E45" s="35">
        <v>20.52</v>
      </c>
      <c r="F45" s="4">
        <v>2064</v>
      </c>
      <c r="G45" s="4">
        <f t="shared" si="27"/>
        <v>42353.279999999999</v>
      </c>
      <c r="H45" s="21" t="s">
        <v>133</v>
      </c>
      <c r="I45" s="15">
        <v>18</v>
      </c>
      <c r="J45" s="17">
        <v>2400</v>
      </c>
      <c r="K45" s="16">
        <f t="shared" si="1"/>
        <v>133.33333333333334</v>
      </c>
      <c r="L45" s="15">
        <v>18</v>
      </c>
      <c r="M45" s="17">
        <f t="shared" si="28"/>
        <v>2293.3333333333344</v>
      </c>
      <c r="N45" s="16">
        <f t="shared" si="3"/>
        <v>127.40740740740746</v>
      </c>
      <c r="O45" s="18">
        <f t="shared" si="4"/>
        <v>0</v>
      </c>
      <c r="P45" s="19">
        <f t="shared" si="5"/>
        <v>-5.9259259259258812</v>
      </c>
      <c r="Q45" s="20">
        <f t="shared" si="6"/>
        <v>0.95555555555555594</v>
      </c>
      <c r="R45" s="170"/>
      <c r="S45" s="27">
        <v>0.74374999999999991</v>
      </c>
      <c r="T45" s="27">
        <v>0.78124999999999989</v>
      </c>
      <c r="U45" s="4">
        <f t="shared" si="30"/>
        <v>6.9999999999999751</v>
      </c>
      <c r="V45" s="21">
        <f t="shared" si="29"/>
        <v>53.999999999999972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-106.66666666666561</v>
      </c>
      <c r="AF45" s="20">
        <f t="shared" si="9"/>
        <v>0.95555555555555605</v>
      </c>
      <c r="AG45" s="170"/>
    </row>
    <row r="46" spans="1:33">
      <c r="A46" s="189" t="s">
        <v>60</v>
      </c>
      <c r="B46" s="16" t="s">
        <v>48</v>
      </c>
      <c r="C46" s="171"/>
      <c r="D46" s="171"/>
      <c r="E46" s="36"/>
      <c r="F46" s="16"/>
      <c r="G46" s="16"/>
      <c r="H46" s="4"/>
      <c r="I46" s="29">
        <v>17.555555555555557</v>
      </c>
      <c r="J46" s="17">
        <v>2400</v>
      </c>
      <c r="K46" s="16">
        <f t="shared" si="1"/>
        <v>136.70886075949366</v>
      </c>
      <c r="L46" s="29">
        <v>17.555555555555557</v>
      </c>
      <c r="M46" s="17">
        <f>AVERAGE(M37:M45)</f>
        <v>2296.6717878656832</v>
      </c>
      <c r="N46" s="16">
        <f t="shared" si="3"/>
        <v>130.82307652399459</v>
      </c>
      <c r="O46" s="18">
        <f t="shared" si="4"/>
        <v>0</v>
      </c>
      <c r="P46" s="19">
        <f t="shared" si="5"/>
        <v>-5.8857842354990737</v>
      </c>
      <c r="Q46" s="20">
        <f t="shared" si="6"/>
        <v>0.95694657827736784</v>
      </c>
      <c r="R46" s="170"/>
      <c r="S46" s="27"/>
      <c r="T46" s="27"/>
      <c r="U46" s="16"/>
      <c r="V46" s="21"/>
      <c r="W46" s="16"/>
      <c r="X46" s="16"/>
      <c r="Y46" s="30">
        <f>SUM(Y37:Y45)</f>
        <v>0</v>
      </c>
      <c r="Z46" s="30">
        <f>SUM(Z37:Z45)</f>
        <v>0</v>
      </c>
      <c r="AA46" s="166"/>
      <c r="AB46" s="166"/>
      <c r="AC46" s="30">
        <v>9</v>
      </c>
      <c r="AD46" s="30">
        <f>SUM(AD37:AD45)</f>
        <v>0</v>
      </c>
      <c r="AE46" s="18">
        <f t="shared" si="8"/>
        <v>-103.3282121343168</v>
      </c>
      <c r="AF46" s="20">
        <f t="shared" si="9"/>
        <v>0.95694657827736795</v>
      </c>
      <c r="AG46" s="170"/>
    </row>
    <row r="47" spans="1:33" ht="15.75" customHeight="1">
      <c r="A47" s="182" t="s">
        <v>66</v>
      </c>
      <c r="B47" s="35" t="s">
        <v>108</v>
      </c>
      <c r="C47" s="174" t="s">
        <v>109</v>
      </c>
      <c r="D47" s="175"/>
      <c r="E47" s="35">
        <v>34.36</v>
      </c>
      <c r="F47" s="4">
        <v>2398</v>
      </c>
      <c r="G47" s="4">
        <f t="shared" ref="G47:G56" si="31">E47*F47</f>
        <v>82395.28</v>
      </c>
      <c r="H47" s="21" t="s">
        <v>133</v>
      </c>
      <c r="I47" s="15">
        <v>10</v>
      </c>
      <c r="J47" s="17">
        <v>3000</v>
      </c>
      <c r="K47" s="16">
        <f t="shared" si="1"/>
        <v>300</v>
      </c>
      <c r="L47" s="15">
        <v>10</v>
      </c>
      <c r="M47" s="17">
        <f t="shared" ref="M47:M56" si="32">F47/V47*60</f>
        <v>2877.5999999999985</v>
      </c>
      <c r="N47" s="17">
        <f t="shared" si="3"/>
        <v>287.75999999999988</v>
      </c>
      <c r="O47" s="18">
        <f t="shared" si="4"/>
        <v>0</v>
      </c>
      <c r="P47" s="19">
        <f t="shared" si="5"/>
        <v>-12.240000000000123</v>
      </c>
      <c r="Q47" s="20">
        <f t="shared" si="6"/>
        <v>0.95919999999999961</v>
      </c>
      <c r="R47" s="185">
        <f>Q57</f>
        <v>0.96023444054780249</v>
      </c>
      <c r="S47" s="27">
        <v>0.20833333333333334</v>
      </c>
      <c r="T47" s="27">
        <v>0.24305555555555558</v>
      </c>
      <c r="U47" s="27"/>
      <c r="V47" s="21">
        <f t="shared" ref="V47:V56" si="33">(T47-S47)*24*60</f>
        <v>50.000000000000021</v>
      </c>
      <c r="W47" s="22"/>
      <c r="X47" s="22"/>
      <c r="Y47" s="25"/>
      <c r="Z47" s="25"/>
      <c r="AA47" s="176"/>
      <c r="AB47" s="177"/>
      <c r="AC47" s="24">
        <v>10</v>
      </c>
      <c r="AD47" s="24"/>
      <c r="AE47" s="18">
        <f t="shared" si="8"/>
        <v>-122.40000000000146</v>
      </c>
      <c r="AF47" s="20">
        <f t="shared" si="9"/>
        <v>0.9591999999999995</v>
      </c>
      <c r="AG47" s="185">
        <f>AF57</f>
        <v>0.9602344405478026</v>
      </c>
    </row>
    <row r="48" spans="1:33" ht="15.75" customHeight="1">
      <c r="A48" s="183" t="s">
        <v>66</v>
      </c>
      <c r="B48" s="35" t="s">
        <v>108</v>
      </c>
      <c r="C48" s="174" t="s">
        <v>110</v>
      </c>
      <c r="D48" s="175"/>
      <c r="E48" s="35">
        <v>26.78</v>
      </c>
      <c r="F48" s="4">
        <v>3263</v>
      </c>
      <c r="G48" s="4">
        <f t="shared" si="31"/>
        <v>87383.14</v>
      </c>
      <c r="H48" s="21" t="s">
        <v>133</v>
      </c>
      <c r="I48" s="15">
        <v>10</v>
      </c>
      <c r="J48" s="17">
        <v>3000</v>
      </c>
      <c r="K48" s="16">
        <f t="shared" si="1"/>
        <v>300</v>
      </c>
      <c r="L48" s="15">
        <v>10</v>
      </c>
      <c r="M48" s="17">
        <f t="shared" si="32"/>
        <v>2879.1176470588234</v>
      </c>
      <c r="N48" s="17">
        <f t="shared" si="3"/>
        <v>287.91176470588232</v>
      </c>
      <c r="O48" s="18">
        <f t="shared" si="4"/>
        <v>0</v>
      </c>
      <c r="P48" s="19">
        <f t="shared" si="5"/>
        <v>-12.08823529411768</v>
      </c>
      <c r="Q48" s="20">
        <f t="shared" si="6"/>
        <v>0.95970588235294108</v>
      </c>
      <c r="R48" s="186"/>
      <c r="S48" s="27">
        <v>0.24652777777777779</v>
      </c>
      <c r="T48" s="27">
        <v>0.29375000000000001</v>
      </c>
      <c r="U48" s="4">
        <f t="shared" ref="U48:U56" si="34">(S48-T47)*24*60</f>
        <v>4.9999999999999822</v>
      </c>
      <c r="V48" s="21">
        <f t="shared" si="33"/>
        <v>68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-120.88235294117658</v>
      </c>
      <c r="AF48" s="20">
        <f t="shared" si="9"/>
        <v>0.95970588235294119</v>
      </c>
      <c r="AG48" s="186"/>
    </row>
    <row r="49" spans="1:33" ht="15.75" customHeight="1">
      <c r="A49" s="183" t="s">
        <v>66</v>
      </c>
      <c r="B49" s="35" t="s">
        <v>108</v>
      </c>
      <c r="C49" s="174" t="s">
        <v>111</v>
      </c>
      <c r="D49" s="175"/>
      <c r="E49" s="35">
        <v>21.13</v>
      </c>
      <c r="F49" s="4">
        <v>2800</v>
      </c>
      <c r="G49" s="4">
        <f t="shared" si="31"/>
        <v>59164</v>
      </c>
      <c r="H49" s="21">
        <v>2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2896.5517241379293</v>
      </c>
      <c r="N49" s="17">
        <f t="shared" si="3"/>
        <v>289.65517241379291</v>
      </c>
      <c r="O49" s="18">
        <f t="shared" si="4"/>
        <v>0</v>
      </c>
      <c r="P49" s="19">
        <f t="shared" si="5"/>
        <v>-10.344827586207089</v>
      </c>
      <c r="Q49" s="20">
        <f t="shared" si="6"/>
        <v>0.96551724137930972</v>
      </c>
      <c r="R49" s="186"/>
      <c r="S49" s="27">
        <v>0.29722222222222222</v>
      </c>
      <c r="T49" s="27">
        <v>0.33750000000000002</v>
      </c>
      <c r="U49" s="4">
        <f t="shared" si="34"/>
        <v>4.9999999999999822</v>
      </c>
      <c r="V49" s="21">
        <f t="shared" si="33"/>
        <v>58.000000000000036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-103.44827586207066</v>
      </c>
      <c r="AF49" s="20">
        <f t="shared" si="9"/>
        <v>0.96551724137930983</v>
      </c>
      <c r="AG49" s="186"/>
    </row>
    <row r="50" spans="1:33" ht="15.75" customHeight="1">
      <c r="A50" s="183" t="s">
        <v>66</v>
      </c>
      <c r="B50" s="35" t="s">
        <v>108</v>
      </c>
      <c r="C50" s="174" t="s">
        <v>112</v>
      </c>
      <c r="D50" s="175"/>
      <c r="E50" s="35">
        <v>27.17</v>
      </c>
      <c r="F50" s="4">
        <v>5000</v>
      </c>
      <c r="G50" s="4">
        <f t="shared" si="31"/>
        <v>135850</v>
      </c>
      <c r="H50" s="21">
        <v>2</v>
      </c>
      <c r="I50" s="15">
        <v>10</v>
      </c>
      <c r="J50" s="17">
        <v>3000</v>
      </c>
      <c r="K50" s="16">
        <f t="shared" si="1"/>
        <v>300</v>
      </c>
      <c r="L50" s="15">
        <v>10</v>
      </c>
      <c r="M50" s="17">
        <f t="shared" si="32"/>
        <v>2857.1428571428564</v>
      </c>
      <c r="N50" s="17">
        <f t="shared" si="3"/>
        <v>285.71428571428567</v>
      </c>
      <c r="O50" s="18">
        <f t="shared" si="4"/>
        <v>0</v>
      </c>
      <c r="P50" s="19">
        <f t="shared" si="5"/>
        <v>-14.285714285714334</v>
      </c>
      <c r="Q50" s="20">
        <f t="shared" si="6"/>
        <v>0.95238095238095222</v>
      </c>
      <c r="R50" s="186"/>
      <c r="S50" s="27">
        <v>0.34166666666666667</v>
      </c>
      <c r="T50" s="27">
        <v>0.41458333333333336</v>
      </c>
      <c r="U50" s="4">
        <f t="shared" si="34"/>
        <v>5.9999999999999787</v>
      </c>
      <c r="V50" s="21">
        <f t="shared" si="33"/>
        <v>105.00000000000003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-142.85714285714357</v>
      </c>
      <c r="AF50" s="20">
        <f t="shared" si="9"/>
        <v>0.95238095238095211</v>
      </c>
      <c r="AG50" s="186"/>
    </row>
    <row r="51" spans="1:33" ht="15.75" customHeight="1">
      <c r="A51" s="183" t="s">
        <v>66</v>
      </c>
      <c r="B51" s="35" t="s">
        <v>108</v>
      </c>
      <c r="C51" s="174" t="s">
        <v>305</v>
      </c>
      <c r="D51" s="175"/>
      <c r="E51" s="35">
        <v>28.3</v>
      </c>
      <c r="F51" s="4">
        <v>2300</v>
      </c>
      <c r="G51" s="4">
        <f t="shared" si="31"/>
        <v>65090</v>
      </c>
      <c r="H51" s="21">
        <v>2</v>
      </c>
      <c r="I51" s="15">
        <v>8</v>
      </c>
      <c r="J51" s="17">
        <v>3000</v>
      </c>
      <c r="K51" s="16">
        <f t="shared" si="1"/>
        <v>375</v>
      </c>
      <c r="L51" s="15">
        <v>8</v>
      </c>
      <c r="M51" s="17">
        <f t="shared" si="32"/>
        <v>2875.0000000000009</v>
      </c>
      <c r="N51" s="17">
        <f t="shared" si="3"/>
        <v>359.37500000000011</v>
      </c>
      <c r="O51" s="18">
        <f t="shared" si="4"/>
        <v>0</v>
      </c>
      <c r="P51" s="19">
        <f t="shared" si="5"/>
        <v>-15.624999999999886</v>
      </c>
      <c r="Q51" s="20">
        <f t="shared" si="6"/>
        <v>0.95833333333333359</v>
      </c>
      <c r="R51" s="186"/>
      <c r="S51" s="27">
        <v>0.41944444444444445</v>
      </c>
      <c r="T51" s="27">
        <v>0.45277777777777778</v>
      </c>
      <c r="U51" s="4">
        <f t="shared" si="34"/>
        <v>6.9999999999999751</v>
      </c>
      <c r="V51" s="21">
        <f t="shared" si="33"/>
        <v>47.999999999999986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-124.99999999999909</v>
      </c>
      <c r="AF51" s="20">
        <f t="shared" si="9"/>
        <v>0.95833333333333359</v>
      </c>
      <c r="AG51" s="186"/>
    </row>
    <row r="52" spans="1:33" ht="15.75" customHeight="1">
      <c r="A52" s="183" t="s">
        <v>1381</v>
      </c>
      <c r="B52" s="35" t="s">
        <v>108</v>
      </c>
      <c r="C52" s="174" t="s">
        <v>113</v>
      </c>
      <c r="D52" s="175"/>
      <c r="E52" s="35">
        <v>35.869999999999997</v>
      </c>
      <c r="F52" s="4">
        <v>2800</v>
      </c>
      <c r="G52" s="4">
        <f t="shared" si="31"/>
        <v>100436</v>
      </c>
      <c r="H52" s="21">
        <v>2</v>
      </c>
      <c r="I52" s="15">
        <v>9</v>
      </c>
      <c r="J52" s="17">
        <v>3000</v>
      </c>
      <c r="K52" s="16">
        <f t="shared" si="1"/>
        <v>333.33333333333331</v>
      </c>
      <c r="L52" s="15">
        <v>9</v>
      </c>
      <c r="M52" s="17">
        <f t="shared" si="32"/>
        <v>2896.5517241379293</v>
      </c>
      <c r="N52" s="17">
        <f t="shared" si="3"/>
        <v>321.83908045976995</v>
      </c>
      <c r="O52" s="18">
        <f t="shared" si="4"/>
        <v>0</v>
      </c>
      <c r="P52" s="19">
        <f t="shared" si="5"/>
        <v>-11.494252873563369</v>
      </c>
      <c r="Q52" s="20">
        <f t="shared" si="6"/>
        <v>0.96551724137930994</v>
      </c>
      <c r="R52" s="186"/>
      <c r="S52" s="27">
        <v>0.45694444444444443</v>
      </c>
      <c r="T52" s="27">
        <v>0.49722222222222223</v>
      </c>
      <c r="U52" s="4">
        <f t="shared" si="34"/>
        <v>5.9999999999999787</v>
      </c>
      <c r="V52" s="21">
        <f t="shared" si="33"/>
        <v>58.000000000000036</v>
      </c>
      <c r="W52" s="22">
        <f>T52</f>
        <v>0.49722222222222223</v>
      </c>
      <c r="X52" s="22">
        <f>S53</f>
        <v>0.53888888888888886</v>
      </c>
      <c r="Y52" s="25"/>
      <c r="Z52" s="25"/>
      <c r="AA52" s="176"/>
      <c r="AB52" s="177"/>
      <c r="AC52" s="24"/>
      <c r="AD52" s="24"/>
      <c r="AE52" s="18">
        <f t="shared" si="8"/>
        <v>-103.44827586207066</v>
      </c>
      <c r="AF52" s="20">
        <f t="shared" si="9"/>
        <v>0.96551724137930983</v>
      </c>
      <c r="AG52" s="186"/>
    </row>
    <row r="53" spans="1:33" ht="15.75" customHeight="1">
      <c r="A53" s="183" t="s">
        <v>66</v>
      </c>
      <c r="B53" s="35" t="s">
        <v>108</v>
      </c>
      <c r="C53" s="174" t="s">
        <v>111</v>
      </c>
      <c r="D53" s="175"/>
      <c r="E53" s="35">
        <v>21.13</v>
      </c>
      <c r="F53" s="4">
        <v>3946</v>
      </c>
      <c r="G53" s="4">
        <f t="shared" si="31"/>
        <v>83378.98</v>
      </c>
      <c r="H53" s="21" t="s">
        <v>133</v>
      </c>
      <c r="I53" s="15">
        <v>10</v>
      </c>
      <c r="J53" s="17">
        <v>3000</v>
      </c>
      <c r="K53" s="16">
        <f t="shared" si="1"/>
        <v>300</v>
      </c>
      <c r="L53" s="15">
        <v>10</v>
      </c>
      <c r="M53" s="17">
        <f t="shared" si="32"/>
        <v>2852.5301204819266</v>
      </c>
      <c r="N53" s="17">
        <f t="shared" si="3"/>
        <v>285.25301204819266</v>
      </c>
      <c r="O53" s="18">
        <f t="shared" si="4"/>
        <v>0</v>
      </c>
      <c r="P53" s="19">
        <f t="shared" si="5"/>
        <v>-14.746987951807341</v>
      </c>
      <c r="Q53" s="20">
        <f t="shared" si="6"/>
        <v>0.95084337349397552</v>
      </c>
      <c r="R53" s="186"/>
      <c r="S53" s="27">
        <v>0.53888888888888886</v>
      </c>
      <c r="T53" s="27">
        <v>0.59652777777777777</v>
      </c>
      <c r="U53" s="4">
        <f t="shared" si="34"/>
        <v>59.999999999999943</v>
      </c>
      <c r="V53" s="21">
        <f t="shared" si="33"/>
        <v>83.000000000000028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-147.46987951807341</v>
      </c>
      <c r="AF53" s="20">
        <f t="shared" si="9"/>
        <v>0.95084337349397552</v>
      </c>
      <c r="AG53" s="186"/>
    </row>
    <row r="54" spans="1:33" ht="15.75" customHeight="1">
      <c r="A54" s="183" t="s">
        <v>66</v>
      </c>
      <c r="B54" s="35" t="s">
        <v>108</v>
      </c>
      <c r="C54" s="174" t="s">
        <v>112</v>
      </c>
      <c r="D54" s="175"/>
      <c r="E54" s="35">
        <v>27.17</v>
      </c>
      <c r="F54" s="4">
        <v>3763</v>
      </c>
      <c r="G54" s="4">
        <f t="shared" si="31"/>
        <v>102240.71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32"/>
        <v>2857.974683544302</v>
      </c>
      <c r="N54" s="17">
        <f t="shared" si="3"/>
        <v>285.79746835443018</v>
      </c>
      <c r="O54" s="18">
        <f t="shared" si="4"/>
        <v>0</v>
      </c>
      <c r="P54" s="19">
        <f t="shared" si="5"/>
        <v>-14.20253164556982</v>
      </c>
      <c r="Q54" s="20">
        <f t="shared" si="6"/>
        <v>0.95265822784810061</v>
      </c>
      <c r="R54" s="186"/>
      <c r="S54" s="27">
        <v>0.6020833333333333</v>
      </c>
      <c r="T54" s="27">
        <v>0.65694444444444444</v>
      </c>
      <c r="U54" s="4">
        <f t="shared" si="34"/>
        <v>7.9999999999999716</v>
      </c>
      <c r="V54" s="21">
        <f t="shared" si="33"/>
        <v>79.000000000000043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-142.02531645569798</v>
      </c>
      <c r="AF54" s="20">
        <f t="shared" si="9"/>
        <v>0.95265822784810072</v>
      </c>
      <c r="AG54" s="186"/>
    </row>
    <row r="55" spans="1:33" ht="15.75" customHeight="1">
      <c r="A55" s="183" t="s">
        <v>66</v>
      </c>
      <c r="B55" s="35" t="s">
        <v>108</v>
      </c>
      <c r="C55" s="174" t="s">
        <v>305</v>
      </c>
      <c r="D55" s="175"/>
      <c r="E55" s="35">
        <v>28.3</v>
      </c>
      <c r="F55" s="4">
        <v>1705</v>
      </c>
      <c r="G55" s="4">
        <f t="shared" si="31"/>
        <v>48251.5</v>
      </c>
      <c r="H55" s="21" t="s">
        <v>133</v>
      </c>
      <c r="I55" s="15">
        <v>8</v>
      </c>
      <c r="J55" s="17">
        <v>3000</v>
      </c>
      <c r="K55" s="16">
        <f t="shared" si="1"/>
        <v>375</v>
      </c>
      <c r="L55" s="15">
        <v>8</v>
      </c>
      <c r="M55" s="17">
        <f t="shared" si="32"/>
        <v>2922.8571428571399</v>
      </c>
      <c r="N55" s="17">
        <f t="shared" si="3"/>
        <v>365.35714285714249</v>
      </c>
      <c r="O55" s="18">
        <f t="shared" si="4"/>
        <v>0</v>
      </c>
      <c r="P55" s="19">
        <f t="shared" si="5"/>
        <v>-9.6428571428575083</v>
      </c>
      <c r="Q55" s="20">
        <f t="shared" si="6"/>
        <v>0.97428571428571331</v>
      </c>
      <c r="R55" s="186"/>
      <c r="S55" s="27">
        <v>0.66041666666666665</v>
      </c>
      <c r="T55" s="27">
        <v>0.68472222222222223</v>
      </c>
      <c r="U55" s="4">
        <f t="shared" si="34"/>
        <v>4.9999999999999822</v>
      </c>
      <c r="V55" s="21">
        <f t="shared" si="33"/>
        <v>35.000000000000036</v>
      </c>
      <c r="W55" s="22"/>
      <c r="X55" s="22"/>
      <c r="Y55" s="25"/>
      <c r="Z55" s="25"/>
      <c r="AA55" s="176"/>
      <c r="AB55" s="177"/>
      <c r="AC55" s="24"/>
      <c r="AD55" s="24"/>
      <c r="AE55" s="18">
        <f t="shared" si="8"/>
        <v>-77.142857142860066</v>
      </c>
      <c r="AF55" s="20">
        <f t="shared" si="9"/>
        <v>0.97428571428571331</v>
      </c>
      <c r="AG55" s="186"/>
    </row>
    <row r="56" spans="1:33" ht="15.75" customHeight="1">
      <c r="A56" s="183" t="s">
        <v>66</v>
      </c>
      <c r="B56" s="35" t="s">
        <v>108</v>
      </c>
      <c r="C56" s="174" t="s">
        <v>113</v>
      </c>
      <c r="D56" s="175"/>
      <c r="E56" s="35">
        <v>35.869999999999997</v>
      </c>
      <c r="F56" s="4">
        <v>1976</v>
      </c>
      <c r="G56" s="4">
        <f t="shared" si="31"/>
        <v>70879.12</v>
      </c>
      <c r="H56" s="21" t="s">
        <v>133</v>
      </c>
      <c r="I56" s="15">
        <v>9</v>
      </c>
      <c r="J56" s="17">
        <v>3000</v>
      </c>
      <c r="K56" s="16">
        <f t="shared" si="1"/>
        <v>333.33333333333331</v>
      </c>
      <c r="L56" s="15">
        <v>9</v>
      </c>
      <c r="M56" s="17">
        <f t="shared" si="32"/>
        <v>2891.7073170731701</v>
      </c>
      <c r="N56" s="17">
        <f t="shared" si="3"/>
        <v>321.30081300813004</v>
      </c>
      <c r="O56" s="18">
        <f t="shared" si="4"/>
        <v>0</v>
      </c>
      <c r="P56" s="19">
        <f t="shared" si="5"/>
        <v>-12.032520325203279</v>
      </c>
      <c r="Q56" s="20">
        <f t="shared" si="6"/>
        <v>0.96390243902439021</v>
      </c>
      <c r="R56" s="186"/>
      <c r="S56" s="27">
        <v>0.68819444444444444</v>
      </c>
      <c r="T56" s="27">
        <v>0.71666666666666667</v>
      </c>
      <c r="U56" s="4">
        <f t="shared" si="34"/>
        <v>4.9999999999999822</v>
      </c>
      <c r="V56" s="21">
        <f t="shared" si="33"/>
        <v>41.000000000000014</v>
      </c>
      <c r="W56" s="22"/>
      <c r="X56" s="22"/>
      <c r="Y56" s="25"/>
      <c r="Z56" s="25"/>
      <c r="AA56" s="176"/>
      <c r="AB56" s="177"/>
      <c r="AC56" s="24"/>
      <c r="AD56" s="24"/>
      <c r="AE56" s="18">
        <f t="shared" si="8"/>
        <v>-108.29268292682991</v>
      </c>
      <c r="AF56" s="20">
        <f t="shared" si="9"/>
        <v>0.96390243902438999</v>
      </c>
      <c r="AG56" s="186"/>
    </row>
    <row r="57" spans="1:33" ht="15.75" customHeight="1">
      <c r="A57" s="184" t="s">
        <v>66</v>
      </c>
      <c r="B57" s="35" t="s">
        <v>48</v>
      </c>
      <c r="C57" s="164"/>
      <c r="D57" s="165"/>
      <c r="E57" s="37"/>
      <c r="F57" s="4"/>
      <c r="G57" s="4"/>
      <c r="H57" s="4"/>
      <c r="I57" s="29">
        <v>9.4</v>
      </c>
      <c r="J57" s="17">
        <v>3000</v>
      </c>
      <c r="K57" s="16">
        <f t="shared" si="1"/>
        <v>319.14893617021278</v>
      </c>
      <c r="L57" s="29">
        <v>9.4</v>
      </c>
      <c r="M57" s="17">
        <f>AVERAGE(M47:M56)</f>
        <v>2880.7033216434079</v>
      </c>
      <c r="N57" s="16">
        <f t="shared" si="3"/>
        <v>306.4578001748306</v>
      </c>
      <c r="O57" s="18">
        <f t="shared" si="4"/>
        <v>0</v>
      </c>
      <c r="P57" s="19">
        <f t="shared" si="5"/>
        <v>-12.691135995382183</v>
      </c>
      <c r="Q57" s="20">
        <f t="shared" si="6"/>
        <v>0.96023444054780249</v>
      </c>
      <c r="R57" s="187"/>
      <c r="S57" s="27"/>
      <c r="T57" s="27"/>
      <c r="U57" s="4"/>
      <c r="V57" s="21"/>
      <c r="W57" s="22"/>
      <c r="X57" s="22"/>
      <c r="Y57" s="30">
        <f>SUM(Y47:Y56)</f>
        <v>0</v>
      </c>
      <c r="Z57" s="30">
        <f>SUM(Z47:Z56)</f>
        <v>0</v>
      </c>
      <c r="AA57" s="180"/>
      <c r="AB57" s="181"/>
      <c r="AC57" s="30">
        <v>10</v>
      </c>
      <c r="AD57" s="30">
        <f>SUM(AD47:AD56)</f>
        <v>0</v>
      </c>
      <c r="AE57" s="18">
        <f t="shared" si="8"/>
        <v>-119.29667835659211</v>
      </c>
      <c r="AF57" s="20">
        <f t="shared" si="9"/>
        <v>0.9602344405478026</v>
      </c>
      <c r="AG57" s="187"/>
    </row>
    <row r="58" spans="1:33" ht="15.75" customHeight="1">
      <c r="A58" s="178" t="s">
        <v>72</v>
      </c>
      <c r="B58" s="35" t="s">
        <v>84</v>
      </c>
      <c r="C58" s="163" t="s">
        <v>114</v>
      </c>
      <c r="D58" s="163"/>
      <c r="E58" s="35">
        <v>46</v>
      </c>
      <c r="F58" s="38">
        <v>2274</v>
      </c>
      <c r="G58" s="4">
        <f t="shared" ref="G58:G66" si="35">E58*F58</f>
        <v>104604</v>
      </c>
      <c r="H58" s="21" t="s">
        <v>133</v>
      </c>
      <c r="I58" s="15">
        <v>17</v>
      </c>
      <c r="J58" s="17">
        <v>2000</v>
      </c>
      <c r="K58" s="16">
        <f t="shared" si="1"/>
        <v>117.64705882352941</v>
      </c>
      <c r="L58" s="15">
        <v>17</v>
      </c>
      <c r="M58" s="17">
        <f t="shared" ref="M58:M66" si="36">F58/V58*60</f>
        <v>1921.6901408450699</v>
      </c>
      <c r="N58" s="17">
        <f t="shared" si="3"/>
        <v>113.04059652029822</v>
      </c>
      <c r="O58" s="18">
        <f t="shared" si="4"/>
        <v>0</v>
      </c>
      <c r="P58" s="19">
        <f t="shared" si="5"/>
        <v>-4.6064623032311829</v>
      </c>
      <c r="Q58" s="20">
        <f t="shared" si="6"/>
        <v>0.96084507042253497</v>
      </c>
      <c r="R58" s="170">
        <f>Q67</f>
        <v>0.94104251906481817</v>
      </c>
      <c r="S58" s="27">
        <v>0.20833333333333334</v>
      </c>
      <c r="T58" s="27">
        <v>0.25763888888888892</v>
      </c>
      <c r="U58" s="27"/>
      <c r="V58" s="21">
        <f t="shared" ref="V58:V66" si="37">(T58-S58)*24*60</f>
        <v>71.000000000000028</v>
      </c>
      <c r="W58" s="27"/>
      <c r="X58" s="27"/>
      <c r="Y58" s="27"/>
      <c r="Z58" s="27"/>
      <c r="AA58" s="162"/>
      <c r="AB58" s="162"/>
      <c r="AC58" s="24">
        <v>9</v>
      </c>
      <c r="AD58" s="24"/>
      <c r="AE58" s="18">
        <f t="shared" si="8"/>
        <v>-78.309859154930109</v>
      </c>
      <c r="AF58" s="20">
        <f t="shared" si="9"/>
        <v>0.96084507042253497</v>
      </c>
      <c r="AG58" s="170">
        <f>AF67</f>
        <v>0.94104251906481817</v>
      </c>
    </row>
    <row r="59" spans="1:33" ht="15.75" customHeight="1">
      <c r="A59" s="178" t="s">
        <v>72</v>
      </c>
      <c r="B59" s="35" t="s">
        <v>78</v>
      </c>
      <c r="C59" s="163" t="s">
        <v>115</v>
      </c>
      <c r="D59" s="163"/>
      <c r="E59" s="35">
        <v>56.43</v>
      </c>
      <c r="F59" s="38">
        <v>2104</v>
      </c>
      <c r="G59" s="4">
        <f t="shared" si="35"/>
        <v>118728.72</v>
      </c>
      <c r="H59" s="21" t="s">
        <v>133</v>
      </c>
      <c r="I59" s="15">
        <v>22</v>
      </c>
      <c r="J59" s="17">
        <v>2000</v>
      </c>
      <c r="K59" s="16">
        <f t="shared" si="1"/>
        <v>90.909090909090907</v>
      </c>
      <c r="L59" s="15">
        <v>22</v>
      </c>
      <c r="M59" s="17">
        <f t="shared" si="36"/>
        <v>1803.4285714285718</v>
      </c>
      <c r="N59" s="17">
        <f t="shared" si="3"/>
        <v>81.974025974025992</v>
      </c>
      <c r="O59" s="18">
        <f t="shared" si="4"/>
        <v>0</v>
      </c>
      <c r="P59" s="19">
        <f t="shared" si="5"/>
        <v>-8.9350649350649149</v>
      </c>
      <c r="Q59" s="20">
        <f t="shared" si="6"/>
        <v>0.90171428571428591</v>
      </c>
      <c r="R59" s="170"/>
      <c r="S59" s="27">
        <v>0.26250000000000001</v>
      </c>
      <c r="T59" s="27">
        <v>0.31111111111111112</v>
      </c>
      <c r="U59" s="4">
        <f t="shared" ref="U59:U66" si="38">IF(S59=TIME(17,0,0),"",(S59-T58)*24*60)</f>
        <v>6.9999999999999751</v>
      </c>
      <c r="V59" s="21">
        <f t="shared" si="37"/>
        <v>69.999999999999986</v>
      </c>
      <c r="W59" s="22"/>
      <c r="X59" s="22"/>
      <c r="Y59" s="22"/>
      <c r="Z59" s="22"/>
      <c r="AA59" s="162"/>
      <c r="AB59" s="162"/>
      <c r="AC59" s="24"/>
      <c r="AD59" s="24"/>
      <c r="AE59" s="18">
        <f t="shared" si="8"/>
        <v>-196.57142857142821</v>
      </c>
      <c r="AF59" s="20">
        <f t="shared" si="9"/>
        <v>0.90171428571428591</v>
      </c>
      <c r="AG59" s="170"/>
    </row>
    <row r="60" spans="1:33" ht="15.75" customHeight="1">
      <c r="A60" s="178" t="s">
        <v>72</v>
      </c>
      <c r="B60" s="35" t="s">
        <v>78</v>
      </c>
      <c r="C60" s="174" t="s">
        <v>116</v>
      </c>
      <c r="D60" s="175"/>
      <c r="E60" s="35">
        <v>51.75</v>
      </c>
      <c r="F60" s="38">
        <v>1533</v>
      </c>
      <c r="G60" s="4">
        <f t="shared" si="35"/>
        <v>79332.75</v>
      </c>
      <c r="H60" s="21" t="s">
        <v>133</v>
      </c>
      <c r="I60" s="15">
        <v>25</v>
      </c>
      <c r="J60" s="17">
        <v>2000</v>
      </c>
      <c r="K60" s="16">
        <f t="shared" si="1"/>
        <v>80</v>
      </c>
      <c r="L60" s="15">
        <v>25</v>
      </c>
      <c r="M60" s="17">
        <f t="shared" si="36"/>
        <v>1803.5294117647068</v>
      </c>
      <c r="N60" s="17">
        <f t="shared" si="3"/>
        <v>72.141176470588277</v>
      </c>
      <c r="O60" s="18">
        <f t="shared" si="4"/>
        <v>0</v>
      </c>
      <c r="P60" s="19">
        <f t="shared" si="5"/>
        <v>-7.8588235294117226</v>
      </c>
      <c r="Q60" s="20">
        <f t="shared" si="6"/>
        <v>0.90176470588235347</v>
      </c>
      <c r="R60" s="170"/>
      <c r="S60" s="27">
        <v>0.31666666666666665</v>
      </c>
      <c r="T60" s="27">
        <v>0.3520833333333333</v>
      </c>
      <c r="U60" s="4">
        <f t="shared" si="38"/>
        <v>7.9999999999999716</v>
      </c>
      <c r="V60" s="21">
        <f t="shared" si="37"/>
        <v>50.999999999999979</v>
      </c>
      <c r="W60" s="22"/>
      <c r="X60" s="22"/>
      <c r="Y60" s="25"/>
      <c r="Z60" s="25"/>
      <c r="AA60" s="162"/>
      <c r="AB60" s="162"/>
      <c r="AC60" s="24"/>
      <c r="AD60" s="24"/>
      <c r="AE60" s="18">
        <f t="shared" si="8"/>
        <v>-196.47058823529323</v>
      </c>
      <c r="AF60" s="20">
        <f t="shared" si="9"/>
        <v>0.90176470588235336</v>
      </c>
      <c r="AG60" s="170"/>
    </row>
    <row r="61" spans="1:33" ht="15.75" customHeight="1">
      <c r="A61" s="178" t="s">
        <v>72</v>
      </c>
      <c r="B61" s="35" t="s">
        <v>78</v>
      </c>
      <c r="C61" s="39" t="s">
        <v>117</v>
      </c>
      <c r="D61" s="40"/>
      <c r="E61" s="35">
        <v>54.09</v>
      </c>
      <c r="F61" s="38">
        <v>1333</v>
      </c>
      <c r="G61" s="4">
        <f t="shared" si="35"/>
        <v>72101.97</v>
      </c>
      <c r="H61" s="21" t="s">
        <v>133</v>
      </c>
      <c r="I61" s="15">
        <v>19</v>
      </c>
      <c r="J61" s="17">
        <v>2000</v>
      </c>
      <c r="K61" s="16">
        <f t="shared" si="1"/>
        <v>105.26315789473684</v>
      </c>
      <c r="L61" s="15">
        <v>19</v>
      </c>
      <c r="M61" s="17">
        <f t="shared" si="36"/>
        <v>1817.7272727272727</v>
      </c>
      <c r="N61" s="17">
        <f t="shared" si="3"/>
        <v>95.669856459330148</v>
      </c>
      <c r="O61" s="18">
        <f t="shared" si="4"/>
        <v>0</v>
      </c>
      <c r="P61" s="19">
        <f t="shared" si="5"/>
        <v>-9.593301435406687</v>
      </c>
      <c r="Q61" s="20">
        <f t="shared" si="6"/>
        <v>0.90886363636363643</v>
      </c>
      <c r="R61" s="170"/>
      <c r="S61" s="27">
        <v>0.3569444444444444</v>
      </c>
      <c r="T61" s="27">
        <v>0.38749999999999996</v>
      </c>
      <c r="U61" s="4">
        <f t="shared" si="38"/>
        <v>6.9999999999999751</v>
      </c>
      <c r="V61" s="21">
        <f t="shared" si="37"/>
        <v>44</v>
      </c>
      <c r="W61" s="22"/>
      <c r="X61" s="22"/>
      <c r="Y61" s="25"/>
      <c r="Z61" s="25"/>
      <c r="AA61" s="162"/>
      <c r="AB61" s="162"/>
      <c r="AC61" s="24"/>
      <c r="AD61" s="24"/>
      <c r="AE61" s="18">
        <f t="shared" si="8"/>
        <v>-182.27272727272725</v>
      </c>
      <c r="AF61" s="20">
        <f t="shared" si="9"/>
        <v>0.90886363636363643</v>
      </c>
      <c r="AG61" s="170"/>
    </row>
    <row r="62" spans="1:33" ht="15.75" customHeight="1">
      <c r="A62" s="178" t="s">
        <v>72</v>
      </c>
      <c r="B62" s="35" t="s">
        <v>78</v>
      </c>
      <c r="C62" s="39" t="s">
        <v>118</v>
      </c>
      <c r="D62" s="40"/>
      <c r="E62" s="35">
        <v>57.73</v>
      </c>
      <c r="F62" s="38">
        <v>1292</v>
      </c>
      <c r="G62" s="4">
        <f t="shared" si="35"/>
        <v>74587.159999999989</v>
      </c>
      <c r="H62" s="21" t="s">
        <v>133</v>
      </c>
      <c r="I62" s="15">
        <v>16</v>
      </c>
      <c r="J62" s="17">
        <v>1500</v>
      </c>
      <c r="K62" s="16">
        <f t="shared" si="1"/>
        <v>93.75</v>
      </c>
      <c r="L62" s="15">
        <v>16</v>
      </c>
      <c r="M62" s="17">
        <f t="shared" si="36"/>
        <v>1435.5555555555563</v>
      </c>
      <c r="N62" s="17">
        <f t="shared" si="3"/>
        <v>89.722222222222271</v>
      </c>
      <c r="O62" s="18">
        <f t="shared" si="4"/>
        <v>0</v>
      </c>
      <c r="P62" s="19">
        <f t="shared" si="5"/>
        <v>-4.0277777777777288</v>
      </c>
      <c r="Q62" s="20">
        <f t="shared" si="6"/>
        <v>0.95703703703703757</v>
      </c>
      <c r="R62" s="170"/>
      <c r="S62" s="27">
        <v>0.70833333333333337</v>
      </c>
      <c r="T62" s="27">
        <v>0.74583333333333335</v>
      </c>
      <c r="U62" s="4" t="str">
        <f t="shared" si="38"/>
        <v/>
      </c>
      <c r="V62" s="21">
        <f t="shared" si="37"/>
        <v>53.999999999999972</v>
      </c>
      <c r="W62" s="22"/>
      <c r="X62" s="22"/>
      <c r="Y62" s="25"/>
      <c r="Z62" s="25"/>
      <c r="AA62" s="162"/>
      <c r="AB62" s="162"/>
      <c r="AC62" s="24"/>
      <c r="AD62" s="24"/>
      <c r="AE62" s="18">
        <f t="shared" si="8"/>
        <v>-64.444444444443661</v>
      </c>
      <c r="AF62" s="20">
        <f t="shared" si="9"/>
        <v>0.95703703703703757</v>
      </c>
      <c r="AG62" s="170"/>
    </row>
    <row r="63" spans="1:33" ht="15.75" customHeight="1">
      <c r="A63" s="178" t="s">
        <v>72</v>
      </c>
      <c r="B63" s="35" t="s">
        <v>78</v>
      </c>
      <c r="C63" s="174" t="s">
        <v>119</v>
      </c>
      <c r="D63" s="175"/>
      <c r="E63" s="35">
        <v>54.29</v>
      </c>
      <c r="F63" s="38">
        <v>1540</v>
      </c>
      <c r="G63" s="4">
        <f t="shared" si="35"/>
        <v>83606.600000000006</v>
      </c>
      <c r="H63" s="21" t="s">
        <v>133</v>
      </c>
      <c r="I63" s="15">
        <v>20</v>
      </c>
      <c r="J63" s="17">
        <v>2000</v>
      </c>
      <c r="K63" s="16">
        <f t="shared" si="1"/>
        <v>100</v>
      </c>
      <c r="L63" s="15">
        <v>20</v>
      </c>
      <c r="M63" s="17">
        <f t="shared" si="36"/>
        <v>1925.0000000000005</v>
      </c>
      <c r="N63" s="17">
        <f t="shared" si="3"/>
        <v>96.250000000000028</v>
      </c>
      <c r="O63" s="18">
        <f t="shared" si="4"/>
        <v>0</v>
      </c>
      <c r="P63" s="19">
        <f t="shared" si="5"/>
        <v>-3.7499999999999716</v>
      </c>
      <c r="Q63" s="20">
        <f t="shared" si="6"/>
        <v>0.96250000000000024</v>
      </c>
      <c r="R63" s="170"/>
      <c r="S63" s="27">
        <v>0.75069444444444444</v>
      </c>
      <c r="T63" s="27">
        <v>0.78402777777777777</v>
      </c>
      <c r="U63" s="4">
        <f t="shared" si="38"/>
        <v>6.9999999999999751</v>
      </c>
      <c r="V63" s="21">
        <f t="shared" si="37"/>
        <v>47.999999999999986</v>
      </c>
      <c r="W63" s="22"/>
      <c r="X63" s="22"/>
      <c r="Y63" s="25"/>
      <c r="Z63" s="25"/>
      <c r="AA63" s="176"/>
      <c r="AB63" s="177"/>
      <c r="AC63" s="24"/>
      <c r="AD63" s="24"/>
      <c r="AE63" s="18">
        <f t="shared" si="8"/>
        <v>-74.999999999999545</v>
      </c>
      <c r="AF63" s="20">
        <f t="shared" si="9"/>
        <v>0.96250000000000024</v>
      </c>
      <c r="AG63" s="170"/>
    </row>
    <row r="64" spans="1:33" ht="15.75" customHeight="1">
      <c r="A64" s="178" t="s">
        <v>72</v>
      </c>
      <c r="B64" s="35" t="s">
        <v>78</v>
      </c>
      <c r="C64" s="174" t="s">
        <v>120</v>
      </c>
      <c r="D64" s="175"/>
      <c r="E64" s="35">
        <v>55.56</v>
      </c>
      <c r="F64" s="38">
        <v>700</v>
      </c>
      <c r="G64" s="4">
        <f t="shared" si="35"/>
        <v>38892</v>
      </c>
      <c r="H64" s="21">
        <v>2</v>
      </c>
      <c r="I64" s="15">
        <v>17</v>
      </c>
      <c r="J64" s="17">
        <v>2000</v>
      </c>
      <c r="K64" s="16">
        <f t="shared" si="1"/>
        <v>117.64705882352941</v>
      </c>
      <c r="L64" s="15">
        <v>17</v>
      </c>
      <c r="M64" s="17">
        <f t="shared" si="36"/>
        <v>1909.0909090909158</v>
      </c>
      <c r="N64" s="17">
        <f t="shared" si="3"/>
        <v>112.29946524064211</v>
      </c>
      <c r="O64" s="18">
        <f t="shared" si="4"/>
        <v>0</v>
      </c>
      <c r="P64" s="19">
        <f t="shared" si="5"/>
        <v>-5.3475935828872991</v>
      </c>
      <c r="Q64" s="20">
        <f t="shared" si="6"/>
        <v>0.95454545454545792</v>
      </c>
      <c r="R64" s="170"/>
      <c r="S64" s="27">
        <v>0.78749999999999998</v>
      </c>
      <c r="T64" s="27">
        <v>0.8027777777777777</v>
      </c>
      <c r="U64" s="4">
        <f t="shared" si="38"/>
        <v>4.9999999999999822</v>
      </c>
      <c r="V64" s="21">
        <f t="shared" si="37"/>
        <v>21.999999999999922</v>
      </c>
      <c r="W64" s="22"/>
      <c r="X64" s="22"/>
      <c r="Y64" s="25"/>
      <c r="Z64" s="25"/>
      <c r="AA64" s="176"/>
      <c r="AB64" s="177"/>
      <c r="AC64" s="24"/>
      <c r="AD64" s="24"/>
      <c r="AE64" s="18">
        <f t="shared" si="8"/>
        <v>-90.909090909084171</v>
      </c>
      <c r="AF64" s="20">
        <f t="shared" si="9"/>
        <v>0.95454545454545792</v>
      </c>
      <c r="AG64" s="170"/>
    </row>
    <row r="65" spans="1:33" ht="15.75" customHeight="1">
      <c r="A65" s="178" t="s">
        <v>72</v>
      </c>
      <c r="B65" s="35" t="s">
        <v>78</v>
      </c>
      <c r="C65" s="174" t="s">
        <v>121</v>
      </c>
      <c r="D65" s="175"/>
      <c r="E65" s="35">
        <v>55.32</v>
      </c>
      <c r="F65" s="38">
        <v>1740</v>
      </c>
      <c r="G65" s="4">
        <f t="shared" si="35"/>
        <v>96256.8</v>
      </c>
      <c r="H65" s="21" t="s">
        <v>133</v>
      </c>
      <c r="I65" s="15">
        <v>15</v>
      </c>
      <c r="J65" s="17">
        <v>2000</v>
      </c>
      <c r="K65" s="16">
        <f t="shared" si="1"/>
        <v>133.33333333333334</v>
      </c>
      <c r="L65" s="15">
        <v>15</v>
      </c>
      <c r="M65" s="17">
        <f t="shared" si="36"/>
        <v>1933.3333333333342</v>
      </c>
      <c r="N65" s="17">
        <f t="shared" si="3"/>
        <v>128.88888888888894</v>
      </c>
      <c r="O65" s="18">
        <f t="shared" si="4"/>
        <v>0</v>
      </c>
      <c r="P65" s="19">
        <f t="shared" si="5"/>
        <v>-4.4444444444444002</v>
      </c>
      <c r="Q65" s="20">
        <f t="shared" si="6"/>
        <v>0.96666666666666701</v>
      </c>
      <c r="R65" s="170"/>
      <c r="S65" s="27">
        <v>0.80624999999999991</v>
      </c>
      <c r="T65" s="27">
        <v>0.84374999999999989</v>
      </c>
      <c r="U65" s="4">
        <f t="shared" si="38"/>
        <v>4.9999999999999822</v>
      </c>
      <c r="V65" s="21">
        <f t="shared" si="37"/>
        <v>53.999999999999972</v>
      </c>
      <c r="W65" s="22">
        <f>T65</f>
        <v>0.84374999999999989</v>
      </c>
      <c r="X65" s="22">
        <f>S66</f>
        <v>0.88263888888888875</v>
      </c>
      <c r="Y65" s="25"/>
      <c r="Z65" s="25"/>
      <c r="AA65" s="176"/>
      <c r="AB65" s="177"/>
      <c r="AC65" s="24"/>
      <c r="AD65" s="24"/>
      <c r="AE65" s="18">
        <f t="shared" si="8"/>
        <v>-66.666666666665833</v>
      </c>
      <c r="AF65" s="20">
        <f t="shared" si="9"/>
        <v>0.96666666666666712</v>
      </c>
      <c r="AG65" s="170"/>
    </row>
    <row r="66" spans="1:33">
      <c r="A66" s="178" t="s">
        <v>72</v>
      </c>
      <c r="B66" s="35" t="s">
        <v>78</v>
      </c>
      <c r="C66" s="174" t="s">
        <v>120</v>
      </c>
      <c r="D66" s="175"/>
      <c r="E66" s="35">
        <v>55.56</v>
      </c>
      <c r="F66" s="38">
        <v>1727</v>
      </c>
      <c r="G66" s="4">
        <f t="shared" si="35"/>
        <v>95952.12000000001</v>
      </c>
      <c r="H66" s="21" t="s">
        <v>133</v>
      </c>
      <c r="I66" s="15">
        <v>17</v>
      </c>
      <c r="J66" s="17">
        <v>2000</v>
      </c>
      <c r="K66" s="16">
        <f t="shared" si="1"/>
        <v>117.64705882352941</v>
      </c>
      <c r="L66" s="15">
        <v>17</v>
      </c>
      <c r="M66" s="17">
        <f t="shared" si="36"/>
        <v>1918.8888888888898</v>
      </c>
      <c r="N66" s="17">
        <f t="shared" si="3"/>
        <v>112.87581699346411</v>
      </c>
      <c r="O66" s="18">
        <f t="shared" si="4"/>
        <v>0</v>
      </c>
      <c r="P66" s="19">
        <f t="shared" si="5"/>
        <v>-4.7712418300652928</v>
      </c>
      <c r="Q66" s="20">
        <f t="shared" si="6"/>
        <v>0.95944444444444499</v>
      </c>
      <c r="R66" s="170"/>
      <c r="S66" s="27">
        <v>0.88263888888888875</v>
      </c>
      <c r="T66" s="27">
        <v>0.92013888888888873</v>
      </c>
      <c r="U66" s="4">
        <f t="shared" si="38"/>
        <v>55.999999999999957</v>
      </c>
      <c r="V66" s="21">
        <f t="shared" si="37"/>
        <v>53.999999999999972</v>
      </c>
      <c r="W66" s="22"/>
      <c r="X66" s="22"/>
      <c r="Y66" s="25"/>
      <c r="Z66" s="25"/>
      <c r="AA66" s="176"/>
      <c r="AB66" s="177"/>
      <c r="AC66" s="24"/>
      <c r="AD66" s="24"/>
      <c r="AE66" s="18">
        <f t="shared" si="8"/>
        <v>-81.111111111110176</v>
      </c>
      <c r="AF66" s="20">
        <f t="shared" si="9"/>
        <v>0.95944444444444488</v>
      </c>
      <c r="AG66" s="170"/>
    </row>
    <row r="67" spans="1:33">
      <c r="A67" s="179" t="s">
        <v>72</v>
      </c>
      <c r="B67" s="35" t="s">
        <v>48</v>
      </c>
      <c r="C67" s="171"/>
      <c r="D67" s="171"/>
      <c r="E67" s="36"/>
      <c r="F67" s="16"/>
      <c r="G67" s="16"/>
      <c r="H67" s="4"/>
      <c r="I67" s="29">
        <v>18.666666666666668</v>
      </c>
      <c r="J67" s="17">
        <v>1944.4444444444443</v>
      </c>
      <c r="K67" s="16">
        <f t="shared" si="1"/>
        <v>104.16666666666666</v>
      </c>
      <c r="L67" s="29">
        <v>18.666666666666668</v>
      </c>
      <c r="M67" s="17">
        <f>AVERAGE(M58:M66)</f>
        <v>1829.8048981815907</v>
      </c>
      <c r="N67" s="16">
        <f t="shared" si="3"/>
        <v>98.025262402585213</v>
      </c>
      <c r="O67" s="18">
        <f t="shared" si="4"/>
        <v>0</v>
      </c>
      <c r="P67" s="19">
        <f t="shared" si="5"/>
        <v>-6.1414042640814444</v>
      </c>
      <c r="Q67" s="20">
        <f t="shared" si="6"/>
        <v>0.94104251906481817</v>
      </c>
      <c r="R67" s="170"/>
      <c r="S67" s="27"/>
      <c r="T67" s="27"/>
      <c r="U67" s="4"/>
      <c r="V67" s="21"/>
      <c r="W67" s="16"/>
      <c r="X67" s="16"/>
      <c r="Y67" s="30">
        <f>SUM(Y58:Y66)</f>
        <v>0</v>
      </c>
      <c r="Z67" s="30">
        <f>SUM(Z58:Z66)</f>
        <v>0</v>
      </c>
      <c r="AA67" s="166"/>
      <c r="AB67" s="166"/>
      <c r="AC67" s="30">
        <v>9</v>
      </c>
      <c r="AD67" s="30">
        <f>SUM(AD58:AD66)</f>
        <v>0</v>
      </c>
      <c r="AE67" s="18">
        <f>M67-J67</f>
        <v>-114.63954626285363</v>
      </c>
      <c r="AF67" s="20">
        <f t="shared" si="9"/>
        <v>0.94104251906481817</v>
      </c>
      <c r="AG67" s="170"/>
    </row>
    <row r="68" spans="1:33" ht="15.75" customHeight="1">
      <c r="A68" s="172" t="s">
        <v>297</v>
      </c>
      <c r="B68" s="4" t="s">
        <v>84</v>
      </c>
      <c r="C68" s="163" t="s">
        <v>122</v>
      </c>
      <c r="D68" s="163"/>
      <c r="E68" s="35">
        <v>26.97</v>
      </c>
      <c r="F68" s="38">
        <v>3496</v>
      </c>
      <c r="G68" s="4">
        <f t="shared" ref="G68:G71" si="39">E68*F68</f>
        <v>94287.12</v>
      </c>
      <c r="H68" s="21" t="s">
        <v>133</v>
      </c>
      <c r="I68" s="15">
        <v>8</v>
      </c>
      <c r="J68" s="17">
        <v>1500</v>
      </c>
      <c r="K68" s="16">
        <f t="shared" si="1"/>
        <v>187.5</v>
      </c>
      <c r="L68" s="15">
        <v>8</v>
      </c>
      <c r="M68" s="17">
        <f t="shared" ref="M68:M71" si="40">F68/V68*60</f>
        <v>1426.9387755102041</v>
      </c>
      <c r="N68" s="16">
        <f t="shared" si="3"/>
        <v>178.36734693877551</v>
      </c>
      <c r="O68" s="18">
        <f t="shared" si="4"/>
        <v>0</v>
      </c>
      <c r="P68" s="19">
        <f t="shared" si="5"/>
        <v>-9.1326530612244881</v>
      </c>
      <c r="Q68" s="20">
        <f t="shared" si="6"/>
        <v>0.95129251700680273</v>
      </c>
      <c r="R68" s="170">
        <f>Q72</f>
        <v>0.95337154574748539</v>
      </c>
      <c r="S68" s="27">
        <v>0.20833333333333334</v>
      </c>
      <c r="T68" s="27">
        <v>0.31041666666666667</v>
      </c>
      <c r="U68" s="4"/>
      <c r="V68" s="21">
        <f t="shared" ref="V68:V71" si="41">(T68-S68)*24*60</f>
        <v>147</v>
      </c>
      <c r="W68" s="27"/>
      <c r="X68" s="27"/>
      <c r="Y68" s="27"/>
      <c r="Z68" s="27"/>
      <c r="AA68" s="162"/>
      <c r="AB68" s="162"/>
      <c r="AC68" s="24">
        <v>4</v>
      </c>
      <c r="AD68" s="24"/>
      <c r="AE68" s="18">
        <f t="shared" ref="AE68:AE80" si="42">M68-J68</f>
        <v>-73.061224489795904</v>
      </c>
      <c r="AF68" s="20">
        <f t="shared" si="9"/>
        <v>0.95129251700680273</v>
      </c>
      <c r="AG68" s="170">
        <f>AF72</f>
        <v>0.95337154574748539</v>
      </c>
    </row>
    <row r="69" spans="1:33" ht="15.75" customHeight="1">
      <c r="A69" s="172" t="s">
        <v>297</v>
      </c>
      <c r="B69" s="4" t="s">
        <v>108</v>
      </c>
      <c r="C69" s="163" t="s">
        <v>125</v>
      </c>
      <c r="D69" s="163"/>
      <c r="E69" s="35">
        <v>37.85</v>
      </c>
      <c r="F69" s="38">
        <v>1750</v>
      </c>
      <c r="G69" s="4">
        <f t="shared" si="39"/>
        <v>66237.5</v>
      </c>
      <c r="H69" s="21" t="s">
        <v>133</v>
      </c>
      <c r="I69" s="15">
        <v>12</v>
      </c>
      <c r="J69" s="17">
        <v>2000</v>
      </c>
      <c r="K69" s="16">
        <f t="shared" ref="K69:K80" si="43">J69/I69</f>
        <v>166.66666666666666</v>
      </c>
      <c r="L69" s="15">
        <v>12</v>
      </c>
      <c r="M69" s="17">
        <f t="shared" si="40"/>
        <v>1909.0909090909104</v>
      </c>
      <c r="N69" s="16">
        <f t="shared" ref="N69:N80" si="44">M69/L69</f>
        <v>159.09090909090921</v>
      </c>
      <c r="O69" s="18">
        <f t="shared" ref="O69:O80" si="45">L69-I69</f>
        <v>0</v>
      </c>
      <c r="P69" s="19">
        <f t="shared" ref="P69:P80" si="46">N69-K69</f>
        <v>-7.57575757575745</v>
      </c>
      <c r="Q69" s="20">
        <f t="shared" ref="Q69:Q80" si="47">N69/K69</f>
        <v>0.95454545454545525</v>
      </c>
      <c r="R69" s="170"/>
      <c r="S69" s="27">
        <v>0.31527777777777777</v>
      </c>
      <c r="T69" s="27">
        <v>0.35347222222222219</v>
      </c>
      <c r="U69" s="4">
        <f t="shared" ref="U69:U71" si="48">(S69-T68)*24*60</f>
        <v>6.9999999999999751</v>
      </c>
      <c r="V69" s="21">
        <f t="shared" si="41"/>
        <v>54.999999999999964</v>
      </c>
      <c r="W69" s="4"/>
      <c r="X69" s="4"/>
      <c r="Y69" s="4"/>
      <c r="Z69" s="4"/>
      <c r="AA69" s="162"/>
      <c r="AB69" s="162"/>
      <c r="AC69" s="24"/>
      <c r="AD69" s="24"/>
      <c r="AE69" s="18">
        <f t="shared" si="42"/>
        <v>-90.909090909089628</v>
      </c>
      <c r="AF69" s="20">
        <f t="shared" ref="AF69:AF80" si="49">M69/J69</f>
        <v>0.95454545454545514</v>
      </c>
      <c r="AG69" s="170"/>
    </row>
    <row r="70" spans="1:33" ht="15.75" customHeight="1">
      <c r="A70" s="172" t="s">
        <v>297</v>
      </c>
      <c r="B70" s="4" t="s">
        <v>108</v>
      </c>
      <c r="C70" s="163" t="s">
        <v>126</v>
      </c>
      <c r="D70" s="163"/>
      <c r="E70" s="35">
        <v>34.36</v>
      </c>
      <c r="F70" s="38">
        <v>2142</v>
      </c>
      <c r="G70" s="4">
        <f t="shared" si="39"/>
        <v>73599.12</v>
      </c>
      <c r="H70" s="21" t="s">
        <v>133</v>
      </c>
      <c r="I70" s="15">
        <v>10</v>
      </c>
      <c r="J70" s="17">
        <v>3000</v>
      </c>
      <c r="K70" s="16">
        <f t="shared" si="43"/>
        <v>300</v>
      </c>
      <c r="L70" s="15">
        <v>10</v>
      </c>
      <c r="M70" s="17">
        <f t="shared" si="40"/>
        <v>2856</v>
      </c>
      <c r="N70" s="16">
        <f t="shared" si="44"/>
        <v>285.60000000000002</v>
      </c>
      <c r="O70" s="18">
        <f t="shared" si="45"/>
        <v>0</v>
      </c>
      <c r="P70" s="19">
        <f t="shared" si="46"/>
        <v>-14.399999999999977</v>
      </c>
      <c r="Q70" s="20">
        <f t="shared" si="47"/>
        <v>0.95200000000000007</v>
      </c>
      <c r="R70" s="170"/>
      <c r="S70" s="27">
        <v>0.35902777777777772</v>
      </c>
      <c r="T70" s="27">
        <v>0.39027777777777772</v>
      </c>
      <c r="U70" s="4">
        <f t="shared" si="48"/>
        <v>7.9999999999999716</v>
      </c>
      <c r="V70" s="21">
        <f t="shared" si="41"/>
        <v>45</v>
      </c>
      <c r="W70" s="4"/>
      <c r="X70" s="4"/>
      <c r="Y70" s="4"/>
      <c r="Z70" s="4"/>
      <c r="AA70" s="162"/>
      <c r="AB70" s="162"/>
      <c r="AC70" s="24"/>
      <c r="AD70" s="24"/>
      <c r="AE70" s="18">
        <f t="shared" si="42"/>
        <v>-144</v>
      </c>
      <c r="AF70" s="20">
        <f t="shared" si="49"/>
        <v>0.95199999999999996</v>
      </c>
      <c r="AG70" s="170"/>
    </row>
    <row r="71" spans="1:33" ht="15.75" customHeight="1">
      <c r="A71" s="172" t="s">
        <v>297</v>
      </c>
      <c r="B71" s="4" t="s">
        <v>108</v>
      </c>
      <c r="C71" s="163" t="s">
        <v>127</v>
      </c>
      <c r="D71" s="163"/>
      <c r="E71" s="35">
        <v>35.119999999999997</v>
      </c>
      <c r="F71" s="38">
        <v>7449</v>
      </c>
      <c r="G71" s="4">
        <f t="shared" si="39"/>
        <v>261608.87999999998</v>
      </c>
      <c r="H71" s="21" t="s">
        <v>133</v>
      </c>
      <c r="I71" s="15">
        <v>10</v>
      </c>
      <c r="J71" s="17">
        <v>3000</v>
      </c>
      <c r="K71" s="16">
        <f t="shared" si="43"/>
        <v>300</v>
      </c>
      <c r="L71" s="15">
        <v>10</v>
      </c>
      <c r="M71" s="17">
        <f t="shared" si="40"/>
        <v>2864.9999999999982</v>
      </c>
      <c r="N71" s="16">
        <f t="shared" si="44"/>
        <v>286.49999999999983</v>
      </c>
      <c r="O71" s="18">
        <f t="shared" si="45"/>
        <v>0</v>
      </c>
      <c r="P71" s="19">
        <f t="shared" si="46"/>
        <v>-13.500000000000171</v>
      </c>
      <c r="Q71" s="20">
        <f t="shared" si="47"/>
        <v>0.9549999999999994</v>
      </c>
      <c r="R71" s="170"/>
      <c r="S71" s="27">
        <v>0.39583333333333326</v>
      </c>
      <c r="T71" s="27">
        <v>0.50416666666666665</v>
      </c>
      <c r="U71" s="4">
        <f t="shared" si="48"/>
        <v>7.9999999999999716</v>
      </c>
      <c r="V71" s="21">
        <f t="shared" si="41"/>
        <v>156.00000000000009</v>
      </c>
      <c r="W71" s="4"/>
      <c r="X71" s="4"/>
      <c r="Y71" s="4"/>
      <c r="Z71" s="4"/>
      <c r="AA71" s="162"/>
      <c r="AB71" s="162"/>
      <c r="AC71" s="24"/>
      <c r="AD71" s="24"/>
      <c r="AE71" s="18">
        <f t="shared" si="42"/>
        <v>-135.00000000000182</v>
      </c>
      <c r="AF71" s="20">
        <f t="shared" si="49"/>
        <v>0.9549999999999994</v>
      </c>
      <c r="AG71" s="170"/>
    </row>
    <row r="72" spans="1:33">
      <c r="A72" s="173" t="s">
        <v>297</v>
      </c>
      <c r="B72" s="35" t="s">
        <v>48</v>
      </c>
      <c r="C72" s="171"/>
      <c r="D72" s="171"/>
      <c r="E72" s="36"/>
      <c r="F72" s="16"/>
      <c r="G72" s="16"/>
      <c r="H72" s="4"/>
      <c r="I72" s="29">
        <v>10</v>
      </c>
      <c r="J72" s="17">
        <v>2375</v>
      </c>
      <c r="K72" s="16">
        <f t="shared" si="43"/>
        <v>237.5</v>
      </c>
      <c r="L72" s="29">
        <v>10</v>
      </c>
      <c r="M72" s="17">
        <f>AVERAGE(M68:M71)</f>
        <v>2264.2574211502779</v>
      </c>
      <c r="N72" s="16">
        <f t="shared" si="44"/>
        <v>226.42574211502779</v>
      </c>
      <c r="O72" s="18">
        <f t="shared" si="45"/>
        <v>0</v>
      </c>
      <c r="P72" s="19">
        <f t="shared" si="46"/>
        <v>-11.074257884972212</v>
      </c>
      <c r="Q72" s="20">
        <f t="shared" si="47"/>
        <v>0.95337154574748539</v>
      </c>
      <c r="R72" s="170"/>
      <c r="S72" s="27"/>
      <c r="T72" s="27"/>
      <c r="U72" s="16"/>
      <c r="V72" s="21"/>
      <c r="W72" s="16"/>
      <c r="X72" s="16"/>
      <c r="Y72" s="30">
        <f>SUM(Y68:Y71)</f>
        <v>0</v>
      </c>
      <c r="Z72" s="30">
        <f>SUM(Z68:Z71)</f>
        <v>0</v>
      </c>
      <c r="AA72" s="166"/>
      <c r="AB72" s="166"/>
      <c r="AC72" s="30">
        <v>4</v>
      </c>
      <c r="AD72" s="30">
        <f>SUM(AD68:AD71)</f>
        <v>0</v>
      </c>
      <c r="AE72" s="18">
        <f t="shared" si="42"/>
        <v>-110.74257884972212</v>
      </c>
      <c r="AF72" s="20">
        <f t="shared" si="49"/>
        <v>0.95337154574748539</v>
      </c>
      <c r="AG72" s="170"/>
    </row>
    <row r="73" spans="1:33" ht="15.75" customHeight="1">
      <c r="A73" s="167" t="s">
        <v>75</v>
      </c>
      <c r="B73" s="4" t="s">
        <v>97</v>
      </c>
      <c r="C73" s="163" t="s">
        <v>128</v>
      </c>
      <c r="D73" s="163"/>
      <c r="E73" s="35">
        <v>20.2</v>
      </c>
      <c r="F73" s="4">
        <v>2696</v>
      </c>
      <c r="G73" s="4">
        <f t="shared" ref="G73:G79" si="50">E73*F73</f>
        <v>54459.199999999997</v>
      </c>
      <c r="H73" s="21" t="s">
        <v>133</v>
      </c>
      <c r="I73" s="15">
        <v>15</v>
      </c>
      <c r="J73" s="17">
        <v>2400</v>
      </c>
      <c r="K73" s="16">
        <f t="shared" si="43"/>
        <v>160</v>
      </c>
      <c r="L73" s="15">
        <v>15</v>
      </c>
      <c r="M73" s="17">
        <f t="shared" ref="M73:M79" si="51">F73/V73*60</f>
        <v>2310.8571428571431</v>
      </c>
      <c r="N73" s="16">
        <f t="shared" si="44"/>
        <v>154.05714285714288</v>
      </c>
      <c r="O73" s="18">
        <f t="shared" si="45"/>
        <v>0</v>
      </c>
      <c r="P73" s="19">
        <f t="shared" si="46"/>
        <v>-5.9428571428571217</v>
      </c>
      <c r="Q73" s="20">
        <f t="shared" si="47"/>
        <v>0.96285714285714297</v>
      </c>
      <c r="R73" s="170">
        <f>Q80</f>
        <v>0.95695830065080612</v>
      </c>
      <c r="S73" s="27">
        <v>0.125</v>
      </c>
      <c r="T73" s="27">
        <v>0.1736111111111111</v>
      </c>
      <c r="U73" s="27"/>
      <c r="V73" s="21">
        <f t="shared" ref="V73:V79" si="52">(T73-S73)*24*60</f>
        <v>69.999999999999986</v>
      </c>
      <c r="W73" s="22">
        <f>T73</f>
        <v>0.1736111111111111</v>
      </c>
      <c r="X73" s="22">
        <f>S74</f>
        <v>0.19375000000000001</v>
      </c>
      <c r="Y73" s="22"/>
      <c r="Z73" s="22"/>
      <c r="AA73" s="162"/>
      <c r="AB73" s="162"/>
      <c r="AC73" s="24">
        <v>7</v>
      </c>
      <c r="AD73" s="24"/>
      <c r="AE73" s="18">
        <f t="shared" si="42"/>
        <v>-89.142857142856883</v>
      </c>
      <c r="AF73" s="20">
        <f t="shared" si="49"/>
        <v>0.96285714285714297</v>
      </c>
      <c r="AG73" s="170">
        <f>AF80</f>
        <v>0.95695830065080623</v>
      </c>
    </row>
    <row r="74" spans="1:33" ht="15.75" customHeight="1">
      <c r="A74" s="168" t="s">
        <v>75</v>
      </c>
      <c r="B74" s="4" t="s">
        <v>97</v>
      </c>
      <c r="C74" s="163" t="s">
        <v>129</v>
      </c>
      <c r="D74" s="163"/>
      <c r="E74" s="35">
        <v>24.45</v>
      </c>
      <c r="F74" s="4">
        <v>3274</v>
      </c>
      <c r="G74" s="4">
        <f t="shared" si="50"/>
        <v>80049.3</v>
      </c>
      <c r="H74" s="21" t="s">
        <v>133</v>
      </c>
      <c r="I74" s="15">
        <v>19</v>
      </c>
      <c r="J74" s="17">
        <v>2400</v>
      </c>
      <c r="K74" s="16">
        <f t="shared" si="43"/>
        <v>126.31578947368421</v>
      </c>
      <c r="L74" s="15">
        <v>19</v>
      </c>
      <c r="M74" s="17">
        <f t="shared" si="51"/>
        <v>2284.1860465116288</v>
      </c>
      <c r="N74" s="16">
        <f t="shared" si="44"/>
        <v>120.22031823745415</v>
      </c>
      <c r="O74" s="18">
        <f t="shared" si="45"/>
        <v>0</v>
      </c>
      <c r="P74" s="19">
        <f t="shared" si="46"/>
        <v>-6.095471236230054</v>
      </c>
      <c r="Q74" s="20">
        <f t="shared" si="47"/>
        <v>0.95174418604651212</v>
      </c>
      <c r="R74" s="170"/>
      <c r="S74" s="27">
        <v>0.19375000000000001</v>
      </c>
      <c r="T74" s="27">
        <v>0.25347222222222221</v>
      </c>
      <c r="U74" s="4">
        <f t="shared" ref="U74:U79" si="53">(S74-T73)*24*60</f>
        <v>29.000000000000018</v>
      </c>
      <c r="V74" s="21">
        <f t="shared" si="52"/>
        <v>85.999999999999972</v>
      </c>
      <c r="W74" s="22"/>
      <c r="X74" s="22"/>
      <c r="Y74" s="22"/>
      <c r="Z74" s="22"/>
      <c r="AA74" s="162"/>
      <c r="AB74" s="162"/>
      <c r="AC74" s="24"/>
      <c r="AD74" s="24"/>
      <c r="AE74" s="18">
        <f t="shared" si="42"/>
        <v>-115.81395348837123</v>
      </c>
      <c r="AF74" s="20">
        <f t="shared" si="49"/>
        <v>0.95174418604651201</v>
      </c>
      <c r="AG74" s="170"/>
    </row>
    <row r="75" spans="1:33" ht="15.75" customHeight="1">
      <c r="A75" s="168" t="s">
        <v>75</v>
      </c>
      <c r="B75" s="4" t="s">
        <v>97</v>
      </c>
      <c r="C75" s="163" t="s">
        <v>106</v>
      </c>
      <c r="D75" s="163"/>
      <c r="E75" s="35">
        <v>20.21</v>
      </c>
      <c r="F75" s="4">
        <v>3319</v>
      </c>
      <c r="G75" s="4">
        <f t="shared" si="50"/>
        <v>67076.990000000005</v>
      </c>
      <c r="H75" s="21" t="s">
        <v>133</v>
      </c>
      <c r="I75" s="15">
        <v>15</v>
      </c>
      <c r="J75" s="17">
        <v>2400</v>
      </c>
      <c r="K75" s="16">
        <f t="shared" si="43"/>
        <v>160</v>
      </c>
      <c r="L75" s="15">
        <v>15</v>
      </c>
      <c r="M75" s="17">
        <f t="shared" si="51"/>
        <v>2288.9655172413791</v>
      </c>
      <c r="N75" s="16">
        <f t="shared" si="44"/>
        <v>152.59770114942526</v>
      </c>
      <c r="O75" s="18">
        <f t="shared" si="45"/>
        <v>0</v>
      </c>
      <c r="P75" s="19">
        <f t="shared" si="46"/>
        <v>-7.4022988505747378</v>
      </c>
      <c r="Q75" s="20">
        <f t="shared" si="47"/>
        <v>0.95373563218390789</v>
      </c>
      <c r="R75" s="170"/>
      <c r="S75" s="27">
        <v>0.25694444444444442</v>
      </c>
      <c r="T75" s="27">
        <v>0.31736111111111109</v>
      </c>
      <c r="U75" s="4">
        <f t="shared" si="53"/>
        <v>4.9999999999999822</v>
      </c>
      <c r="V75" s="21">
        <f t="shared" si="52"/>
        <v>87.000000000000014</v>
      </c>
      <c r="W75" s="22"/>
      <c r="X75" s="22"/>
      <c r="Y75" s="22"/>
      <c r="Z75" s="22"/>
      <c r="AA75" s="162"/>
      <c r="AB75" s="162"/>
      <c r="AC75" s="24"/>
      <c r="AD75" s="24"/>
      <c r="AE75" s="18">
        <f t="shared" si="42"/>
        <v>-111.03448275862092</v>
      </c>
      <c r="AF75" s="20">
        <f t="shared" si="49"/>
        <v>0.953735632183908</v>
      </c>
      <c r="AG75" s="170"/>
    </row>
    <row r="76" spans="1:33" ht="15.75" customHeight="1">
      <c r="A76" s="168" t="s">
        <v>75</v>
      </c>
      <c r="B76" s="4" t="s">
        <v>97</v>
      </c>
      <c r="C76" s="163" t="s">
        <v>130</v>
      </c>
      <c r="D76" s="163"/>
      <c r="E76" s="35">
        <v>24.43</v>
      </c>
      <c r="F76" s="4">
        <v>4400</v>
      </c>
      <c r="G76" s="4">
        <f t="shared" si="50"/>
        <v>107492</v>
      </c>
      <c r="H76" s="21">
        <v>2</v>
      </c>
      <c r="I76" s="15">
        <v>14</v>
      </c>
      <c r="J76" s="17">
        <v>2400</v>
      </c>
      <c r="K76" s="16">
        <f t="shared" si="43"/>
        <v>171.42857142857142</v>
      </c>
      <c r="L76" s="15">
        <v>14</v>
      </c>
      <c r="M76" s="17">
        <f t="shared" si="51"/>
        <v>2295.652173913044</v>
      </c>
      <c r="N76" s="16">
        <f t="shared" si="44"/>
        <v>163.97515527950313</v>
      </c>
      <c r="O76" s="18">
        <f t="shared" si="45"/>
        <v>0</v>
      </c>
      <c r="P76" s="19">
        <f t="shared" si="46"/>
        <v>-7.4534161490682891</v>
      </c>
      <c r="Q76" s="20">
        <f t="shared" si="47"/>
        <v>0.95652173913043492</v>
      </c>
      <c r="R76" s="170"/>
      <c r="S76" s="27">
        <v>0.32152777777777775</v>
      </c>
      <c r="T76" s="27">
        <v>0.40138888888888885</v>
      </c>
      <c r="U76" s="4">
        <f t="shared" si="53"/>
        <v>5.9999999999999787</v>
      </c>
      <c r="V76" s="21">
        <f t="shared" si="52"/>
        <v>114.99999999999999</v>
      </c>
      <c r="W76" s="22"/>
      <c r="X76" s="22"/>
      <c r="Y76" s="22"/>
      <c r="Z76" s="22"/>
      <c r="AA76" s="162"/>
      <c r="AB76" s="162"/>
      <c r="AC76" s="24"/>
      <c r="AD76" s="24"/>
      <c r="AE76" s="18">
        <f t="shared" si="42"/>
        <v>-104.34782608695605</v>
      </c>
      <c r="AF76" s="20">
        <f t="shared" si="49"/>
        <v>0.95652173913043503</v>
      </c>
      <c r="AG76" s="170"/>
    </row>
    <row r="77" spans="1:33" ht="15.75" customHeight="1">
      <c r="A77" s="168" t="s">
        <v>75</v>
      </c>
      <c r="B77" s="4" t="s">
        <v>97</v>
      </c>
      <c r="C77" s="163" t="s">
        <v>132</v>
      </c>
      <c r="D77" s="163"/>
      <c r="E77" s="35">
        <v>19.02</v>
      </c>
      <c r="F77" s="4">
        <v>4300</v>
      </c>
      <c r="G77" s="4">
        <f t="shared" si="50"/>
        <v>81786</v>
      </c>
      <c r="H77" s="21">
        <v>2</v>
      </c>
      <c r="I77" s="15">
        <v>14</v>
      </c>
      <c r="J77" s="17">
        <v>2400</v>
      </c>
      <c r="K77" s="16">
        <f t="shared" si="43"/>
        <v>171.42857142857142</v>
      </c>
      <c r="L77" s="15">
        <v>14</v>
      </c>
      <c r="M77" s="17">
        <f t="shared" si="51"/>
        <v>2303.5714285714289</v>
      </c>
      <c r="N77" s="16">
        <f t="shared" si="44"/>
        <v>164.54081632653063</v>
      </c>
      <c r="O77" s="18">
        <f t="shared" si="45"/>
        <v>0</v>
      </c>
      <c r="P77" s="19">
        <f t="shared" si="46"/>
        <v>-6.887755102040785</v>
      </c>
      <c r="Q77" s="20">
        <f t="shared" si="47"/>
        <v>0.95982142857142871</v>
      </c>
      <c r="R77" s="170"/>
      <c r="S77" s="27">
        <v>0.40486111111111106</v>
      </c>
      <c r="T77" s="27">
        <v>0.48263888888888884</v>
      </c>
      <c r="U77" s="4">
        <f t="shared" si="53"/>
        <v>4.9999999999999822</v>
      </c>
      <c r="V77" s="21">
        <f t="shared" si="52"/>
        <v>112</v>
      </c>
      <c r="W77" s="22">
        <f>T77</f>
        <v>0.48263888888888884</v>
      </c>
      <c r="X77" s="22">
        <f>S78</f>
        <v>0.52222222222222214</v>
      </c>
      <c r="Y77" s="22"/>
      <c r="Z77" s="22"/>
      <c r="AA77" s="162"/>
      <c r="AB77" s="162"/>
      <c r="AC77" s="24"/>
      <c r="AD77" s="24"/>
      <c r="AE77" s="18">
        <f t="shared" si="42"/>
        <v>-96.428571428571104</v>
      </c>
      <c r="AF77" s="20">
        <f t="shared" si="49"/>
        <v>0.95982142857142871</v>
      </c>
      <c r="AG77" s="170"/>
    </row>
    <row r="78" spans="1:33" ht="15.75" customHeight="1">
      <c r="A78" s="168" t="s">
        <v>75</v>
      </c>
      <c r="B78" s="4" t="s">
        <v>97</v>
      </c>
      <c r="C78" s="163" t="s">
        <v>132</v>
      </c>
      <c r="D78" s="163"/>
      <c r="E78" s="35">
        <v>19.02</v>
      </c>
      <c r="F78" s="4">
        <v>6999</v>
      </c>
      <c r="G78" s="4">
        <f t="shared" si="50"/>
        <v>133120.98000000001</v>
      </c>
      <c r="H78" s="21" t="s">
        <v>133</v>
      </c>
      <c r="I78" s="15">
        <v>14</v>
      </c>
      <c r="J78" s="17">
        <v>2400</v>
      </c>
      <c r="K78" s="16">
        <f t="shared" si="43"/>
        <v>171.42857142857142</v>
      </c>
      <c r="L78" s="15">
        <v>14</v>
      </c>
      <c r="M78" s="17">
        <f t="shared" si="51"/>
        <v>2294.7540983606555</v>
      </c>
      <c r="N78" s="16">
        <f t="shared" si="44"/>
        <v>163.91100702576111</v>
      </c>
      <c r="O78" s="18">
        <f t="shared" si="45"/>
        <v>0</v>
      </c>
      <c r="P78" s="19">
        <f t="shared" si="46"/>
        <v>-7.5175644028103079</v>
      </c>
      <c r="Q78" s="20">
        <f t="shared" si="47"/>
        <v>0.95614754098360655</v>
      </c>
      <c r="R78" s="170"/>
      <c r="S78" s="27">
        <v>0.52222222222222214</v>
      </c>
      <c r="T78" s="27">
        <v>0.64930555555555547</v>
      </c>
      <c r="U78" s="4">
        <f t="shared" si="53"/>
        <v>56.999999999999957</v>
      </c>
      <c r="V78" s="21">
        <f t="shared" si="52"/>
        <v>183</v>
      </c>
      <c r="W78" s="22"/>
      <c r="X78" s="22"/>
      <c r="Y78" s="22"/>
      <c r="Z78" s="22"/>
      <c r="AA78" s="162"/>
      <c r="AB78" s="162"/>
      <c r="AC78" s="24"/>
      <c r="AD78" s="24"/>
      <c r="AE78" s="18">
        <f t="shared" si="42"/>
        <v>-105.24590163934454</v>
      </c>
      <c r="AF78" s="20">
        <f t="shared" si="49"/>
        <v>0.95614754098360644</v>
      </c>
      <c r="AG78" s="170"/>
    </row>
    <row r="79" spans="1:33" ht="15.75" customHeight="1">
      <c r="A79" s="168" t="s">
        <v>75</v>
      </c>
      <c r="B79" s="4" t="s">
        <v>97</v>
      </c>
      <c r="C79" s="163" t="s">
        <v>130</v>
      </c>
      <c r="D79" s="163"/>
      <c r="E79" s="35">
        <v>24.43</v>
      </c>
      <c r="F79" s="4">
        <v>3525</v>
      </c>
      <c r="G79" s="4">
        <f t="shared" si="50"/>
        <v>86115.75</v>
      </c>
      <c r="H79" s="21" t="s">
        <v>133</v>
      </c>
      <c r="I79" s="15">
        <v>14</v>
      </c>
      <c r="J79" s="17">
        <v>2400</v>
      </c>
      <c r="K79" s="16">
        <f t="shared" si="43"/>
        <v>171.42857142857142</v>
      </c>
      <c r="L79" s="15">
        <v>14</v>
      </c>
      <c r="M79" s="17">
        <f t="shared" si="51"/>
        <v>2298.913043478261</v>
      </c>
      <c r="N79" s="16">
        <f t="shared" si="44"/>
        <v>164.20807453416151</v>
      </c>
      <c r="O79" s="18">
        <f t="shared" si="45"/>
        <v>0</v>
      </c>
      <c r="P79" s="19">
        <f t="shared" si="46"/>
        <v>-7.2204968944099051</v>
      </c>
      <c r="Q79" s="20">
        <f t="shared" si="47"/>
        <v>0.95788043478260887</v>
      </c>
      <c r="R79" s="170"/>
      <c r="S79" s="27">
        <v>0.65416666666666656</v>
      </c>
      <c r="T79" s="27">
        <v>0.71805555555555545</v>
      </c>
      <c r="U79" s="4">
        <f t="shared" si="53"/>
        <v>6.9999999999999751</v>
      </c>
      <c r="V79" s="21">
        <f t="shared" si="52"/>
        <v>92</v>
      </c>
      <c r="W79" s="22"/>
      <c r="X79" s="22"/>
      <c r="Y79" s="25"/>
      <c r="Z79" s="25"/>
      <c r="AA79" s="176"/>
      <c r="AB79" s="177"/>
      <c r="AC79" s="24"/>
      <c r="AD79" s="24"/>
      <c r="AE79" s="18">
        <f t="shared" si="42"/>
        <v>-101.08695652173901</v>
      </c>
      <c r="AF79" s="20">
        <f t="shared" si="49"/>
        <v>0.95788043478260876</v>
      </c>
      <c r="AG79" s="170"/>
    </row>
    <row r="80" spans="1:33" ht="16.5" customHeight="1">
      <c r="A80" s="169" t="s">
        <v>75</v>
      </c>
      <c r="B80" s="35" t="s">
        <v>48</v>
      </c>
      <c r="C80" s="164"/>
      <c r="D80" s="165"/>
      <c r="E80" s="36"/>
      <c r="F80" s="16"/>
      <c r="G80" s="16"/>
      <c r="H80" s="4"/>
      <c r="I80" s="29">
        <v>15</v>
      </c>
      <c r="J80" s="17">
        <v>2400</v>
      </c>
      <c r="K80" s="16">
        <f t="shared" si="43"/>
        <v>160</v>
      </c>
      <c r="L80" s="29">
        <v>15</v>
      </c>
      <c r="M80" s="17">
        <f>AVERAGE(M73:M79)</f>
        <v>2296.6999215619348</v>
      </c>
      <c r="N80" s="16">
        <f t="shared" si="44"/>
        <v>153.11332810412898</v>
      </c>
      <c r="O80" s="18">
        <f t="shared" si="45"/>
        <v>0</v>
      </c>
      <c r="P80" s="19">
        <f t="shared" si="46"/>
        <v>-6.886671895871018</v>
      </c>
      <c r="Q80" s="20">
        <f t="shared" si="47"/>
        <v>0.95695830065080612</v>
      </c>
      <c r="R80" s="170"/>
      <c r="S80" s="27"/>
      <c r="T80" s="27"/>
      <c r="U80" s="16"/>
      <c r="V80" s="21"/>
      <c r="W80" s="16"/>
      <c r="X80" s="16"/>
      <c r="Y80" s="30">
        <f>SUM(Y73:Y79)</f>
        <v>0</v>
      </c>
      <c r="Z80" s="30">
        <f>SUM(Z73:Z79)</f>
        <v>0</v>
      </c>
      <c r="AA80" s="166"/>
      <c r="AB80" s="166"/>
      <c r="AC80" s="30">
        <v>7</v>
      </c>
      <c r="AD80" s="30">
        <f>SUM(AD73:AD79)</f>
        <v>0</v>
      </c>
      <c r="AE80" s="18">
        <f t="shared" si="42"/>
        <v>-103.30007843806516</v>
      </c>
      <c r="AF80" s="20">
        <f t="shared" si="49"/>
        <v>0.95695830065080623</v>
      </c>
      <c r="AG80" s="170"/>
    </row>
    <row r="81" spans="4:5">
      <c r="D81" s="41"/>
      <c r="E81" s="41"/>
    </row>
  </sheetData>
  <mergeCells count="21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5:AG20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C20:D20"/>
    <mergeCell ref="AA20:AB20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6"/>
    <mergeCell ref="C28:D28"/>
    <mergeCell ref="R28:R36"/>
    <mergeCell ref="AA28:AB28"/>
    <mergeCell ref="AA33:AB33"/>
    <mergeCell ref="C34:D34"/>
    <mergeCell ref="AA34:AB34"/>
    <mergeCell ref="C35:D35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5:AB35"/>
    <mergeCell ref="C36:D36"/>
    <mergeCell ref="AA36:AB36"/>
    <mergeCell ref="A37:A46"/>
    <mergeCell ref="C37:D37"/>
    <mergeCell ref="R37:R46"/>
    <mergeCell ref="AA37:AB37"/>
    <mergeCell ref="AA42:AB42"/>
    <mergeCell ref="C43:D43"/>
    <mergeCell ref="AA43:AB43"/>
    <mergeCell ref="AG47:AG57"/>
    <mergeCell ref="C48:D48"/>
    <mergeCell ref="AA48:AB48"/>
    <mergeCell ref="C49:D49"/>
    <mergeCell ref="AA49:AB49"/>
    <mergeCell ref="C50:D50"/>
    <mergeCell ref="C44:D44"/>
    <mergeCell ref="AA44:AB44"/>
    <mergeCell ref="C45:D45"/>
    <mergeCell ref="AA45:AB45"/>
    <mergeCell ref="C46:D46"/>
    <mergeCell ref="AA46:AB46"/>
    <mergeCell ref="AG37:AG46"/>
    <mergeCell ref="C38:D38"/>
    <mergeCell ref="AA38:AB38"/>
    <mergeCell ref="C39:D39"/>
    <mergeCell ref="AA39:AB39"/>
    <mergeCell ref="AA57:AB57"/>
    <mergeCell ref="C40:D40"/>
    <mergeCell ref="AA40:AB40"/>
    <mergeCell ref="C41:D41"/>
    <mergeCell ref="AA41:AB41"/>
    <mergeCell ref="C42:D42"/>
    <mergeCell ref="C54:D54"/>
    <mergeCell ref="AA54:AB54"/>
    <mergeCell ref="C55:D55"/>
    <mergeCell ref="AA55:AB55"/>
    <mergeCell ref="C58:D58"/>
    <mergeCell ref="R58:R67"/>
    <mergeCell ref="AA58:AB58"/>
    <mergeCell ref="AA64:AB64"/>
    <mergeCell ref="C65:D65"/>
    <mergeCell ref="AA65:AB65"/>
    <mergeCell ref="C66:D66"/>
    <mergeCell ref="A47:A57"/>
    <mergeCell ref="C47:D47"/>
    <mergeCell ref="AA66:AB66"/>
    <mergeCell ref="C67:D67"/>
    <mergeCell ref="AA67:AB67"/>
    <mergeCell ref="C56:D56"/>
    <mergeCell ref="AA56:AB56"/>
    <mergeCell ref="AA50:AB50"/>
    <mergeCell ref="C51:D51"/>
    <mergeCell ref="AA51:AB51"/>
    <mergeCell ref="C52:D52"/>
    <mergeCell ref="AA52:AB52"/>
    <mergeCell ref="C53:D53"/>
    <mergeCell ref="AA53:AB53"/>
    <mergeCell ref="R47:R57"/>
    <mergeCell ref="AA47:AB47"/>
    <mergeCell ref="C57:D57"/>
    <mergeCell ref="A68:A72"/>
    <mergeCell ref="C68:D68"/>
    <mergeCell ref="R68:R72"/>
    <mergeCell ref="AA68:AB68"/>
    <mergeCell ref="AG58:AG67"/>
    <mergeCell ref="C59:D59"/>
    <mergeCell ref="AA59:AB59"/>
    <mergeCell ref="C60:D60"/>
    <mergeCell ref="AA60:AB60"/>
    <mergeCell ref="AA61:AB61"/>
    <mergeCell ref="AA62:AB62"/>
    <mergeCell ref="C63:D63"/>
    <mergeCell ref="AA63:AB63"/>
    <mergeCell ref="C64:D64"/>
    <mergeCell ref="AG68:AG72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A58:A67"/>
    <mergeCell ref="A73:A80"/>
    <mergeCell ref="C73:D73"/>
    <mergeCell ref="R73:R80"/>
    <mergeCell ref="AA73:AB73"/>
    <mergeCell ref="AG73:AG80"/>
    <mergeCell ref="C74:D74"/>
    <mergeCell ref="AA74:AB74"/>
    <mergeCell ref="C75:D75"/>
    <mergeCell ref="AA75:AB75"/>
    <mergeCell ref="C76:D76"/>
    <mergeCell ref="C80:D80"/>
    <mergeCell ref="AA80:AB80"/>
    <mergeCell ref="AA76:AB76"/>
    <mergeCell ref="C77:D77"/>
    <mergeCell ref="AA77:AB77"/>
    <mergeCell ref="C78:D78"/>
    <mergeCell ref="AA78:AB78"/>
    <mergeCell ref="C79:D79"/>
    <mergeCell ref="AA79:AB79"/>
  </mergeCells>
  <phoneticPr fontId="3" type="noConversion"/>
  <conditionalFormatting sqref="O5:O80">
    <cfRule type="cellIs" dxfId="134" priority="1" operator="greaterThan">
      <formula>0</formula>
    </cfRule>
  </conditionalFormatting>
  <conditionalFormatting sqref="P5:P80">
    <cfRule type="cellIs" dxfId="133" priority="4" operator="lessThan">
      <formula>0</formula>
    </cfRule>
  </conditionalFormatting>
  <conditionalFormatting sqref="Q5:Q80">
    <cfRule type="cellIs" dxfId="132" priority="2" operator="greaterThan">
      <formula>1</formula>
    </cfRule>
    <cfRule type="cellIs" dxfId="131" priority="3" operator="lessThan">
      <formula>0.8</formula>
    </cfRule>
  </conditionalFormatting>
  <conditionalFormatting sqref="R5:R11 AG5:AG11">
    <cfRule type="cellIs" dxfId="130" priority="88" operator="lessThan">
      <formula>0.8</formula>
    </cfRule>
  </conditionalFormatting>
  <conditionalFormatting sqref="AE5:AE80">
    <cfRule type="cellIs" dxfId="129" priority="17" operator="lessThan">
      <formula>0</formula>
    </cfRule>
  </conditionalFormatting>
  <conditionalFormatting sqref="AF5:AF80">
    <cfRule type="cellIs" dxfId="128" priority="15" operator="greaterThan">
      <formula>1</formula>
    </cfRule>
    <cfRule type="cellIs" dxfId="127" priority="16" operator="lessThan">
      <formula>0.8</formula>
    </cfRule>
  </conditionalFormatting>
  <conditionalFormatting sqref="AG15:AG71 R15:R80">
    <cfRule type="cellIs" dxfId="126" priority="5" operator="lessThan">
      <formula>0.8</formula>
    </cfRule>
  </conditionalFormatting>
  <dataValidations count="1">
    <dataValidation type="list" allowBlank="1" showInputMessage="1" showErrorMessage="1" sqref="AB10 AA5:AB9 AA10:AA71 AB12:AB68 AA72:AB80" xr:uid="{00000000-0002-0000-2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Q32"/>
  <sheetViews>
    <sheetView zoomScale="85" zoomScaleNormal="85" workbookViewId="0"/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1258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1259</v>
      </c>
      <c r="C3" s="151" t="str">
        <f>TEXT('0314 4度C'!A2,"yyyy.mm.ddaaaa")</f>
        <v>2026.03.14星期六</v>
      </c>
      <c r="D3" s="152"/>
      <c r="E3" s="45" t="s">
        <v>1260</v>
      </c>
      <c r="F3" s="153">
        <f>'0314 4度C'!D1</f>
        <v>139848</v>
      </c>
      <c r="G3" s="154"/>
      <c r="H3" s="45" t="s">
        <v>137</v>
      </c>
      <c r="I3" s="155">
        <f>'0314 4度C'!F1</f>
        <v>4717404.6799999978</v>
      </c>
      <c r="J3" s="156"/>
      <c r="K3" s="46"/>
      <c r="L3" s="47"/>
      <c r="M3" s="47"/>
      <c r="N3" s="47"/>
    </row>
    <row r="4" spans="2:17" ht="28.5" customHeight="1">
      <c r="B4" s="157" t="s">
        <v>1261</v>
      </c>
      <c r="C4" s="143" t="s">
        <v>1262</v>
      </c>
      <c r="D4" s="144"/>
      <c r="E4" s="160" t="s">
        <v>1263</v>
      </c>
      <c r="F4" s="161"/>
      <c r="G4" s="160" t="s">
        <v>1264</v>
      </c>
      <c r="H4" s="161"/>
      <c r="I4" s="160" t="s">
        <v>142</v>
      </c>
      <c r="J4" s="161"/>
      <c r="K4" s="141" t="s">
        <v>1265</v>
      </c>
      <c r="L4" s="142"/>
      <c r="M4" s="142" t="s">
        <v>1266</v>
      </c>
      <c r="N4" s="142"/>
    </row>
    <row r="5" spans="2:17" ht="28.5" customHeight="1">
      <c r="B5" s="158"/>
      <c r="C5" s="143" t="s">
        <v>1267</v>
      </c>
      <c r="D5" s="144"/>
      <c r="E5" s="143" t="s">
        <v>209</v>
      </c>
      <c r="F5" s="144"/>
      <c r="G5" s="145" t="s">
        <v>1268</v>
      </c>
      <c r="H5" s="146"/>
      <c r="I5" s="147" t="s">
        <v>1269</v>
      </c>
      <c r="J5" s="148"/>
      <c r="K5" s="48" t="s">
        <v>1270</v>
      </c>
      <c r="L5" s="49" t="s">
        <v>1271</v>
      </c>
      <c r="M5" s="48" t="s">
        <v>1270</v>
      </c>
      <c r="N5" s="49" t="s">
        <v>1272</v>
      </c>
    </row>
    <row r="6" spans="2:17" ht="28.5" customHeight="1">
      <c r="B6" s="158"/>
      <c r="C6" s="143" t="s">
        <v>153</v>
      </c>
      <c r="D6" s="144"/>
      <c r="E6" s="135">
        <f>AVERAGE(D13:M13)</f>
        <v>150.60098833818708</v>
      </c>
      <c r="F6" s="136">
        <f>AVERAGE(D31:O31,D13:J13)</f>
        <v>154.27501709804298</v>
      </c>
      <c r="G6" s="137">
        <f>AVERAGE(D13:J13)</f>
        <v>154.27501709804298</v>
      </c>
      <c r="H6" s="138"/>
      <c r="I6" s="137">
        <f>AVERAGE(K13:M13)</f>
        <v>142.02825456518997</v>
      </c>
      <c r="J6" s="138"/>
      <c r="K6" s="139">
        <f>'0314 4度C'!Y2</f>
        <v>0</v>
      </c>
      <c r="L6" s="124">
        <f>'0314 4度C'!Z2</f>
        <v>0</v>
      </c>
      <c r="M6" s="140">
        <f>'0314 4度C'!AC2</f>
        <v>52</v>
      </c>
      <c r="N6" s="124">
        <f>'0314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144.22018820720251</v>
      </c>
      <c r="F7" s="128">
        <f>AVERAGE(D32:O32,D14:J14)</f>
        <v>147.65565611466369</v>
      </c>
      <c r="G7" s="129">
        <f>AVERAGE(D14:J14)</f>
        <v>147.65565611466369</v>
      </c>
      <c r="H7" s="130"/>
      <c r="I7" s="129">
        <f>AVERAGE(K14:M14)</f>
        <v>136.20409642312643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0.9569908859017493</v>
      </c>
      <c r="F8" s="132">
        <f>AVERAGE(D15:J15,D33:O33)</f>
        <v>0.95618745914725989</v>
      </c>
      <c r="G8" s="133">
        <f>AVERAGE(D15:J15)</f>
        <v>0.95618745914725989</v>
      </c>
      <c r="H8" s="134"/>
      <c r="I8" s="133">
        <f>AVERAGE(K15:M15)</f>
        <v>0.95886554832889115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1273</v>
      </c>
      <c r="N9" s="47"/>
      <c r="O9" s="47"/>
      <c r="P9" s="47"/>
      <c r="Q9" s="47"/>
    </row>
    <row r="10" spans="2:17" ht="30" customHeight="1">
      <c r="B10" s="107" t="s">
        <v>1274</v>
      </c>
      <c r="C10" s="108"/>
      <c r="D10" s="109" t="s">
        <v>1275</v>
      </c>
      <c r="E10" s="110"/>
      <c r="F10" s="110"/>
      <c r="G10" s="110"/>
      <c r="H10" s="110"/>
      <c r="I10" s="110"/>
      <c r="J10" s="111"/>
      <c r="K10" s="112" t="s">
        <v>1276</v>
      </c>
      <c r="L10" s="113"/>
      <c r="M10" s="114"/>
      <c r="P10" s="53"/>
      <c r="Q10" s="53"/>
    </row>
    <row r="11" spans="2:17" ht="17.25" customHeight="1">
      <c r="B11" s="115" t="s">
        <v>1277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1278</v>
      </c>
      <c r="C13" s="60" t="s">
        <v>1279</v>
      </c>
      <c r="D13" s="61">
        <f>SUMIFS('0314 4度C'!$K:$K,'0314 4度C'!$A:$A,"新豐6線",'0314 4度C'!$B:$B,"平均")</f>
        <v>113.63636363636363</v>
      </c>
      <c r="E13" s="62">
        <f>SUMIFS('0314 4度C'!$K:$K,'0314 4度C'!$A:$A,"新豐2線",'0314 4度C'!$B:$B,"平均")</f>
        <v>83.333333333333329</v>
      </c>
      <c r="F13" s="63">
        <f>SUMIFS('0314 4度C'!$K:$K,'0314 4度C'!$A:$A,"新豐5線",'0314 4度C'!$B:$B,"平均")</f>
        <v>102.73972602739725</v>
      </c>
      <c r="G13" s="63">
        <f>SUMIFS('0314 4度C'!$K:$K,'0314 4度C'!$A:$A,"新豐7線",'0314 4度C'!$B:$B,"平均")</f>
        <v>128.37837837837839</v>
      </c>
      <c r="H13" s="63">
        <f>SUMIFS('0314 4度C'!$K:$K,'0314 4度C'!$A:$A,"新豐3線",'0314 4度C'!$B:$B,"平均")</f>
        <v>311.68831168831167</v>
      </c>
      <c r="I13" s="63">
        <f>SUMIFS('0314 4度C'!$K:$K,'0314 4度C'!$A:$A,"新豐1線",'0314 4度C'!$B:$B,"平均")</f>
        <v>102.64900662251655</v>
      </c>
      <c r="J13" s="64">
        <f>SUMIFS('0314 4度C'!$K:$K,'0314 4度C'!$A:$A,"新豐10線",'0314 4度C'!$B:$B,"平均")</f>
        <v>237.5</v>
      </c>
      <c r="K13" s="65">
        <f>SUMIFS('0314 4度C'!$K:$K,'0314 4度C'!$A:$A,"新豐8線",'0314 4度C'!$B:$B,"平均")</f>
        <v>130.43478260869566</v>
      </c>
      <c r="L13" s="66">
        <f>SUMIFS('0314 4度C'!$K:$K,'0314 4度C'!$A:$A,"新豐9線",'0314 4度C'!$B:$B,"平均")</f>
        <v>139.80582524271844</v>
      </c>
      <c r="M13" s="64">
        <f>SUMIFS('0314 4度C'!$K:$K,'0314 4度C'!$A:$A,"新豐4線",'0314 4度C'!$B:$B,"平均")</f>
        <v>155.84415584415584</v>
      </c>
    </row>
    <row r="14" spans="2:17" ht="39.6" customHeight="1">
      <c r="B14" s="120"/>
      <c r="C14" s="67" t="s">
        <v>1280</v>
      </c>
      <c r="D14" s="68">
        <f>SUMIFS('0314 4度C'!$N:$N,'0314 4度C'!$A:$A,"新豐6線",'0314 4度C'!$B:$B,"平均")</f>
        <v>108.87500406861321</v>
      </c>
      <c r="E14" s="69">
        <f>SUMIFS('0314 4度C'!$N:$N,'0314 4度C'!$A:$A,"新豐2線",'0314 4度C'!$B:$B,"平均")</f>
        <v>79.628319047993514</v>
      </c>
      <c r="F14" s="69">
        <f>SUMIFS('0314 4度C'!$N:$N,'0314 4度C'!$A:$A,"新豐5線",'0314 4度C'!$B:$B,"平均")</f>
        <v>98.647499721572629</v>
      </c>
      <c r="G14" s="69">
        <f>SUMIFS('0314 4度C'!$N:$N,'0314 4度C'!$A:$A,"新豐7線",'0314 4度C'!$B:$B,"平均")</f>
        <v>123.21619511783447</v>
      </c>
      <c r="H14" s="69">
        <f>SUMIFS('0314 4度C'!$N:$N,'0314 4度C'!$A:$A,"新豐3線",'0314 4度C'!$B:$B,"平均")</f>
        <v>298.2238066057327</v>
      </c>
      <c r="I14" s="69">
        <f>SUMIFS('0314 4度C'!$N:$N,'0314 4度C'!$A:$A,"新豐1線",'0314 4度C'!$B:$B,"平均")</f>
        <v>96.629408705158795</v>
      </c>
      <c r="J14" s="70">
        <f>SUMIFS('0314 4度C'!$N:$N,'0314 4度C'!$A:$A,"新豐10線",'0314 4度C'!$B:$B,"平均")</f>
        <v>228.3693595357403</v>
      </c>
      <c r="K14" s="71">
        <f>SUMIFS('0314 4度C'!$N:$N,'0314 4度C'!$A:$A,"新豐8線",'0314 4度C'!$B:$B,"平均")</f>
        <v>124.94441690710846</v>
      </c>
      <c r="L14" s="72">
        <f>SUMIFS('0314 4度C'!$N:$N,'0314 4度C'!$A:$A,"新豐9線",'0314 4度C'!$B:$B,"平均")</f>
        <v>133.79402405561379</v>
      </c>
      <c r="M14" s="70">
        <f>SUMIFS('0314 4度C'!$N:$N,'0314 4度C'!$A:$A,"新豐4線",'0314 4度C'!$B:$B,"平均")</f>
        <v>149.87384830665698</v>
      </c>
    </row>
    <row r="15" spans="2:17" ht="40.15" customHeight="1">
      <c r="B15" s="121"/>
      <c r="C15" s="73" t="s">
        <v>224</v>
      </c>
      <c r="D15" s="74">
        <f t="shared" ref="D15:M15" si="0">D14/D13</f>
        <v>0.95810003580379632</v>
      </c>
      <c r="E15" s="75">
        <f t="shared" si="0"/>
        <v>0.95553982857592223</v>
      </c>
      <c r="F15" s="75">
        <f t="shared" si="0"/>
        <v>0.96016899728997362</v>
      </c>
      <c r="G15" s="75">
        <f t="shared" si="0"/>
        <v>0.95978930933892115</v>
      </c>
      <c r="H15" s="75">
        <f t="shared" si="0"/>
        <v>0.95680137952672584</v>
      </c>
      <c r="I15" s="75">
        <f t="shared" si="0"/>
        <v>0.94135746545025667</v>
      </c>
      <c r="J15" s="76">
        <f t="shared" si="0"/>
        <v>0.96155519804522227</v>
      </c>
      <c r="K15" s="74">
        <f t="shared" si="0"/>
        <v>0.9579071962878315</v>
      </c>
      <c r="L15" s="75">
        <f t="shared" si="0"/>
        <v>0.9569989220644598</v>
      </c>
      <c r="M15" s="76">
        <f t="shared" si="0"/>
        <v>0.96169052663438237</v>
      </c>
    </row>
    <row r="16" spans="2:17" ht="17.25" customHeight="1">
      <c r="B16" s="122" t="s">
        <v>1281</v>
      </c>
      <c r="C16" s="77" t="s">
        <v>1282</v>
      </c>
      <c r="D16" s="78">
        <f>VLOOKUP("新豐6線",'0314 4度C'!$A:$T,19,0)</f>
        <v>0.70833333333333337</v>
      </c>
      <c r="E16" s="79">
        <f>VLOOKUP("新豐2線",'0314 4度C'!$A:$T,19,0)</f>
        <v>0.20833333333333334</v>
      </c>
      <c r="F16" s="79">
        <f>VLOOKUP("新豐5線",'0314 4度C'!$A:$T,19,0)</f>
        <v>0.20833333333333334</v>
      </c>
      <c r="G16" s="79">
        <f>VLOOKUP("新豐7線",'0314 4度C'!$A:$T,19,0)</f>
        <v>0.20833333333333334</v>
      </c>
      <c r="H16" s="79">
        <f>VLOOKUP("新豐3線",'0314 4度C'!$A:$T,19,0)</f>
        <v>0.20833333333333334</v>
      </c>
      <c r="I16" s="79">
        <f>VLOOKUP("新豐1線",'0314 4度C'!$A:$T,19,0)</f>
        <v>0.20833333333333334</v>
      </c>
      <c r="J16" s="80">
        <f>VLOOKUP("新豐10線",'0314 4度C'!$A:$T,19,0)</f>
        <v>0.20833333333333334</v>
      </c>
      <c r="K16" s="81">
        <f>VLOOKUP("新豐8線",'0314 4度C'!$A:$T,19,0)</f>
        <v>0.125</v>
      </c>
      <c r="L16" s="82">
        <f>VLOOKUP("新豐9線",'0314 4度C'!$A:$T,19,0)</f>
        <v>0.125</v>
      </c>
      <c r="M16" s="83">
        <f>VLOOKUP("新豐4線",'0314 4度C'!$A:$T,19,0)</f>
        <v>0.125</v>
      </c>
    </row>
    <row r="17" spans="2:13" ht="17.25" customHeight="1">
      <c r="B17" s="123"/>
      <c r="C17" s="77" t="s">
        <v>1283</v>
      </c>
      <c r="D17" s="81">
        <f>LOOKUP(2,1/(('0314 4度C'!$A:$A="新豐6線")*('0314 4度C'!$T:$T&lt;&gt;"")),'0314 4度C'!$T:$T)</f>
        <v>0.83124999999999993</v>
      </c>
      <c r="E17" s="79">
        <f>LOOKUP(2,1/(('0314 4度C'!$A:$A="新豐2線")*('0314 4度C'!$T:$T&lt;&gt;"")),'0314 4度C'!$T:$T)</f>
        <v>0.49166666666666659</v>
      </c>
      <c r="F17" s="79">
        <f>LOOKUP(2,1/(('0314 4度C'!$A:$A="新豐5線")*('0314 4度C'!$T:$T&lt;&gt;"")),'0314 4度C'!$T:$T)</f>
        <v>0.83888888888888891</v>
      </c>
      <c r="G17" s="79">
        <f>LOOKUP(2,1/(('0314 4度C'!$A:$A="新豐7線")*('0314 4度C'!$T:$T&lt;&gt;"")),'0314 4度C'!$T:$T)</f>
        <v>0.84583333333333333</v>
      </c>
      <c r="H17" s="79">
        <f>LOOKUP(2,1/(('0314 4度C'!$A:$A="新豐3線")*('0314 4度C'!$T:$T&lt;&gt;"")),'0314 4度C'!$T:$T)</f>
        <v>0.63541666666666652</v>
      </c>
      <c r="I17" s="79">
        <f>LOOKUP(2,1/(('0314 4度C'!$A:$A="新豐1線")*('0314 4度C'!$T:$T&lt;&gt;"")),'0314 4度C'!$T:$T)</f>
        <v>0.84722222222222221</v>
      </c>
      <c r="J17" s="80">
        <f>LOOKUP(2,1/(('0314 4度C'!$A:$A="新豐10線")*('0314 4度C'!$T:$T&lt;&gt;"")),'0314 4度C'!$T:$T)</f>
        <v>0.45347222222222217</v>
      </c>
      <c r="K17" s="78">
        <f>LOOKUP(2,1/(('0314 4度C'!$A:$A="新豐8線")*('0314 4度C'!$T:$T&lt;&gt;"")),'0314 4度C'!$T:$T)</f>
        <v>0.50277777777777777</v>
      </c>
      <c r="L17" s="79">
        <f>LOOKUP(2,1/(('0314 4度C'!$A:$A="新豐9線")*('0314 4度C'!$T:$T&lt;&gt;"")),'0314 4度C'!$T:$T)</f>
        <v>0.5805555555555556</v>
      </c>
      <c r="M17" s="80">
        <f>LOOKUP(2,1/(('0314 4度C'!$A:$A="新豐4線")*('0314 4度C'!$T:$T&lt;&gt;"")),'0314 4度C'!$T:$T)</f>
        <v>0.50694444444444442</v>
      </c>
    </row>
    <row r="18" spans="2:13" ht="17.25" customHeight="1">
      <c r="B18" s="101" t="s">
        <v>1284</v>
      </c>
      <c r="C18" s="84" t="s">
        <v>1080</v>
      </c>
      <c r="D18" s="85">
        <f>SUMIFS('0314 4度C'!$Y:$Y,'0314 4度C'!$A:$A,"新豐6線",'0314 4度C'!$B:$B,"平均")</f>
        <v>0</v>
      </c>
      <c r="E18" s="86">
        <f>SUMIFS('0314 4度C'!$Y:$Y,'0314 4度C'!$A:$A,"新豐2線",'0314 4度C'!$B:$B,"平均")</f>
        <v>0</v>
      </c>
      <c r="F18" s="86">
        <f>SUMIFS('0314 4度C'!$Y:$Y,'0314 4度C'!$A:$A,"新豐5線",'0314 4度C'!$B:$B,"平均")</f>
        <v>0</v>
      </c>
      <c r="G18" s="86">
        <f>SUMIFS('0314 4度C'!$Y:$Y,'0314 4度C'!$A:$A,"新豐7線",'0314 4度C'!$B:$B,"平均")</f>
        <v>0</v>
      </c>
      <c r="H18" s="86">
        <f>SUMIFS('0314 4度C'!$Y:$Y,'0314 4度C'!$A:$A,"新豐3線",'0314 4度C'!$B:$B,"平均")</f>
        <v>0</v>
      </c>
      <c r="I18" s="86">
        <f>SUMIFS('0314 4度C'!$Y:$Y,'0314 4度C'!$A:$A,"新豐1線",'0314 4度C'!$B:$B,"平均")</f>
        <v>0</v>
      </c>
      <c r="J18" s="87">
        <f>SUMIFS('0314 4度C'!$Y:$Y,'0314 4度C'!$A:$A,"新豐10線",'0314 4度C'!$B:$B,"平均")</f>
        <v>0</v>
      </c>
      <c r="K18" s="88">
        <f>SUMIFS('0314 4度C'!$Y:$Y,'0314 4度C'!$A:$A,"新豐8線",'0314 4度C'!$B:$B,"平均")</f>
        <v>0</v>
      </c>
      <c r="L18" s="86">
        <f>SUMIFS('0314 4度C'!$Y:$Y,'0314 4度C'!$A:$A,"新豐9線",'0314 4度C'!$B:$B,"平均")</f>
        <v>0</v>
      </c>
      <c r="M18" s="87">
        <f>SUMIFS('0314 4度C'!$Y:$Y,'0314 4度C'!$A:$A,"新豐4線",'0314 4度C'!$B:$B,"平均")</f>
        <v>0</v>
      </c>
    </row>
    <row r="19" spans="2:13" ht="17.25" customHeight="1">
      <c r="B19" s="102"/>
      <c r="C19" s="84" t="s">
        <v>1285</v>
      </c>
      <c r="D19" s="85">
        <f>SUMIFS('0314 4度C'!$Z:$Z,'0314 4度C'!$A:$A,"新豐6線",'0314 4度C'!$B:$B,"平均")</f>
        <v>0</v>
      </c>
      <c r="E19" s="86">
        <f>SUMIFS('0314 4度C'!$Z:$Z,'0314 4度C'!$A:$A,"新豐2線",'0314 4度C'!$B:$B,"平均")</f>
        <v>0</v>
      </c>
      <c r="F19" s="86">
        <f>SUMIFS('0314 4度C'!$Z:$Z,'0314 4度C'!$A:$A,"新豐5線",'0314 4度C'!$B:$B,"平均")</f>
        <v>0</v>
      </c>
      <c r="G19" s="86">
        <f>SUMIFS('0314 4度C'!$Z:$Z,'0314 4度C'!$A:$A,"新豐7線",'0314 4度C'!$B:$B,"平均")</f>
        <v>0</v>
      </c>
      <c r="H19" s="86">
        <f>SUMIFS('0314 4度C'!$Z:$Z,'0314 4度C'!$A:$A,"新豐3線",'0314 4度C'!$B:$B,"平均")</f>
        <v>0</v>
      </c>
      <c r="I19" s="86">
        <f>SUMIFS('0314 4度C'!$Z:$Z,'0314 4度C'!$A:$A,"新豐1線",'0314 4度C'!$B:$B,"平均")</f>
        <v>0</v>
      </c>
      <c r="J19" s="87">
        <f>SUMIFS('0314 4度C'!$Z:$Z,'0314 4度C'!$A:$A,"新豐10線",'0314 4度C'!$B:$B,"平均")</f>
        <v>0</v>
      </c>
      <c r="K19" s="88">
        <f>SUMIFS('0314 4度C'!$Z:$Z,'0314 4度C'!$A:$A,"新豐8線",'0314 4度C'!$B:$B,"平均")</f>
        <v>0</v>
      </c>
      <c r="L19" s="86">
        <f>SUMIFS('0314 4度C'!$Z:$Z,'0314 4度C'!$A:$A,"新豐9線",'0314 4度C'!$B:$B,"平均")</f>
        <v>0</v>
      </c>
      <c r="M19" s="87">
        <f>SUMIFS('0314 4度C'!$Z:$Z,'0314 4度C'!$A:$A,"新豐4線",'0314 4度C'!$B:$B,"平均")</f>
        <v>0</v>
      </c>
    </row>
    <row r="20" spans="2:13" ht="17.25" customHeight="1">
      <c r="B20" s="101" t="s">
        <v>1286</v>
      </c>
      <c r="C20" s="84" t="s">
        <v>1287</v>
      </c>
      <c r="D20" s="85">
        <f>SUMIFS('0314 4度C'!$AC:$AC,'0314 4度C'!$A:$A,"新豐6線",'0314 4度C'!$B:$B,"平均")</f>
        <v>5</v>
      </c>
      <c r="E20" s="86">
        <f>SUMIFS('0314 4度C'!$AC:$AC,'0314 4度C'!$A:$A,"新豐2線",'0314 4度C'!$B:$B,"平均")</f>
        <v>2</v>
      </c>
      <c r="F20" s="86">
        <f>SUMIFS('0314 4度C'!$AC:$AC,'0314 4度C'!$A:$A,"新豐5線",'0314 4度C'!$B:$B,"平均")</f>
        <v>4</v>
      </c>
      <c r="G20" s="86">
        <f>SUMIFS('0314 4度C'!$AC:$AC,'0314 4度C'!$A:$A,"新豐7線",'0314 4度C'!$B:$B,"平均")</f>
        <v>5</v>
      </c>
      <c r="H20" s="86">
        <f>SUMIFS('0314 4度C'!$AC:$AC,'0314 4度C'!$A:$A,"新豐3線",'0314 4度C'!$B:$B,"平均")</f>
        <v>8</v>
      </c>
      <c r="I20" s="86">
        <f>SUMIFS('0314 4度C'!$AC:$AC,'0314 4度C'!$A:$A,"新豐1線",'0314 4度C'!$B:$B,"平均")</f>
        <v>8</v>
      </c>
      <c r="J20" s="87">
        <f>SUMIFS('0314 4度C'!$AC:$AC,'0314 4度C'!$A:$A,"新豐10線",'0314 4度C'!$B:$B,"平均")</f>
        <v>4</v>
      </c>
      <c r="K20" s="88">
        <f>SUMIFS('0314 4度C'!$AC:$AC,'0314 4度C'!$A:$A,"新豐8線",'0314 4度C'!$B:$B,"平均")</f>
        <v>5</v>
      </c>
      <c r="L20" s="86">
        <f>SUMIFS('0314 4度C'!$AC:$AC,'0314 4度C'!$A:$A,"新豐9線",'0314 4度C'!$B:$B,"平均")</f>
        <v>6</v>
      </c>
      <c r="M20" s="87">
        <f>SUMIFS('0314 4度C'!$AC:$AC,'0314 4度C'!$A:$A,"新豐4線",'0314 4度C'!$B:$B,"平均")</f>
        <v>5</v>
      </c>
    </row>
    <row r="21" spans="2:13" ht="17.25" customHeight="1">
      <c r="B21" s="102"/>
      <c r="C21" s="84" t="s">
        <v>1288</v>
      </c>
      <c r="D21" s="85">
        <f>SUMIFS('0314 4度C'!$AD:$AD,'0314 4度C'!$A:$A,"新豐6線",'0314 4度C'!$B:$B,"平均")</f>
        <v>0</v>
      </c>
      <c r="E21" s="86">
        <f>SUMIFS('0314 4度C'!$AD:$AD,'0314 4度C'!$A:$A,"新豐2線",'0314 4度C'!$B:$B,"平均")</f>
        <v>0</v>
      </c>
      <c r="F21" s="86">
        <f>SUMIFS('0314 4度C'!$AD:$AD,'0314 4度C'!$A:$A,"新豐5線",'0314 4度C'!$B:$B,"平均")</f>
        <v>0</v>
      </c>
      <c r="G21" s="86">
        <f>SUMIFS('0314 4度C'!$AD:$AD,'0314 4度C'!$A:$A,"新豐7線",'0314 4度C'!$B:$B,"平均")</f>
        <v>0</v>
      </c>
      <c r="H21" s="86">
        <f>SUMIFS('0314 4度C'!$AD:$AD,'0314 4度C'!$A:$A,"新豐3線",'0314 4度C'!$B:$B,"平均")</f>
        <v>0</v>
      </c>
      <c r="I21" s="86">
        <f>SUMIFS('0314 4度C'!$AD:$AD,'0314 4度C'!$A:$A,"新豐1線",'0314 4度C'!$B:$B,"平均")</f>
        <v>0</v>
      </c>
      <c r="J21" s="87">
        <f>SUMIFS('0314 4度C'!$AD:$AD,'0314 4度C'!$A:$A,"新豐10線",'0314 4度C'!$B:$B,"平均")</f>
        <v>0</v>
      </c>
      <c r="K21" s="88">
        <f>SUMIFS('0314 4度C'!$AD:$AD,'0314 4度C'!$A:$A,"新豐8線",'0314 4度C'!$B:$B,"平均")</f>
        <v>0</v>
      </c>
      <c r="L21" s="86">
        <f>SUMIFS('0314 4度C'!$AD:$AD,'0314 4度C'!$A:$A,"新豐9線",'0314 4度C'!$B:$B,"平均")</f>
        <v>0</v>
      </c>
      <c r="M21" s="87">
        <f>SUMIFS('0314 4度C'!$AD:$AD,'0314 4度C'!$A:$A,"新豐4線",'0314 4度C'!$B:$B,"平均")</f>
        <v>0</v>
      </c>
    </row>
    <row r="22" spans="2:13" ht="17.25" customHeight="1">
      <c r="B22" s="103" t="s">
        <v>183</v>
      </c>
      <c r="C22" s="104"/>
      <c r="D22" s="89">
        <f>SUMIFS('0314 4度C'!$I:$I,'0314 4度C'!$A:$A,"新豐6線",'0314 4度C'!$B:$B,"平均")</f>
        <v>17.600000000000001</v>
      </c>
      <c r="E22" s="90">
        <f>SUMIFS('0314 4度C'!$I:$I,'0314 4度C'!$A:$A,"新豐2線",'0314 4度C'!$B:$B,"平均")</f>
        <v>18</v>
      </c>
      <c r="F22" s="90">
        <f>SUMIFS('0314 4度C'!$I:$I,'0314 4度C'!$A:$A,"新豐5線",'0314 4度C'!$B:$B,"平均")</f>
        <v>18.25</v>
      </c>
      <c r="G22" s="90">
        <f>SUMIFS('0314 4度C'!$I:$I,'0314 4度C'!$A:$A,"新豐7線",'0314 4度C'!$B:$B,"平均")</f>
        <v>14.8</v>
      </c>
      <c r="H22" s="90">
        <f>SUMIFS('0314 4度C'!$I:$I,'0314 4度C'!$A:$A,"新豐3線",'0314 4度C'!$B:$B,"平均")</f>
        <v>9.625</v>
      </c>
      <c r="I22" s="90">
        <f>SUMIFS('0314 4度C'!$I:$I,'0314 4度C'!$A:$A,"新豐1線",'0314 4度C'!$B:$B,"平均")</f>
        <v>18.875</v>
      </c>
      <c r="J22" s="91">
        <f>SUMIFS('0314 4度C'!$I:$I,'0314 4度C'!$A:$A,"新豐10線",'0314 4度C'!$B:$B,"平均")</f>
        <v>10</v>
      </c>
      <c r="K22" s="89">
        <f>SUMIFS('0314 4度C'!$I:$I,'0314 4度C'!$A:$A,"新豐8線",'0314 4度C'!$B:$B,"平均")</f>
        <v>18.399999999999999</v>
      </c>
      <c r="L22" s="90">
        <f>SUMIFS('0314 4度C'!$I:$I,'0314 4度C'!$A:$A,"新豐9線",'0314 4度C'!$B:$B,"平均")</f>
        <v>17.166666666666668</v>
      </c>
      <c r="M22" s="91">
        <f>SUMIFS('0314 4度C'!$I:$I,'0314 4度C'!$A:$A,"新豐4線",'0314 4度C'!$B:$B,"平均")</f>
        <v>15.4</v>
      </c>
    </row>
    <row r="23" spans="2:13" ht="17.25" customHeight="1">
      <c r="B23" s="103" t="s">
        <v>1289</v>
      </c>
      <c r="C23" s="104"/>
      <c r="D23" s="92" t="s">
        <v>185</v>
      </c>
      <c r="E23" s="93" t="s">
        <v>186</v>
      </c>
      <c r="F23" s="93" t="s">
        <v>1290</v>
      </c>
      <c r="G23" s="93" t="s">
        <v>1290</v>
      </c>
      <c r="H23" s="93" t="s">
        <v>188</v>
      </c>
      <c r="I23" s="93" t="s">
        <v>185</v>
      </c>
      <c r="J23" s="94" t="s">
        <v>188</v>
      </c>
      <c r="K23" s="92" t="s">
        <v>1291</v>
      </c>
      <c r="L23" s="93" t="s">
        <v>1291</v>
      </c>
      <c r="M23" s="94" t="s">
        <v>1291</v>
      </c>
    </row>
    <row r="24" spans="2:13" ht="17.25" customHeight="1">
      <c r="B24" s="103" t="s">
        <v>190</v>
      </c>
      <c r="C24" s="104"/>
      <c r="D24" s="92"/>
      <c r="E24" s="93"/>
      <c r="F24" s="93" t="s">
        <v>191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1292</v>
      </c>
      <c r="C25" s="106"/>
      <c r="D25" s="95"/>
      <c r="E25" s="96" t="s">
        <v>1293</v>
      </c>
      <c r="F25" s="99" t="s">
        <v>1294</v>
      </c>
      <c r="G25" s="100"/>
      <c r="H25" s="96" t="s">
        <v>1295</v>
      </c>
      <c r="I25" s="96" t="s">
        <v>1296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G67"/>
  <sheetViews>
    <sheetView topLeftCell="I1"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SUM(F5:F66)</f>
        <v>139848</v>
      </c>
      <c r="E1" s="4" t="s">
        <v>454</v>
      </c>
      <c r="F1" s="1">
        <f>SUM(G5:G66)</f>
        <v>4717404.6799999978</v>
      </c>
      <c r="G1" s="1" t="s">
        <v>3</v>
      </c>
      <c r="H1" s="5">
        <f>L10+L13+L46+L55+L18+L60+L30+L37+L24+L66</f>
        <v>158.11666666666667</v>
      </c>
      <c r="I1" s="212" t="s">
        <v>4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1297</v>
      </c>
      <c r="T1" s="212"/>
      <c r="U1" s="212"/>
      <c r="V1" s="212"/>
      <c r="W1" s="212"/>
      <c r="X1" s="212"/>
      <c r="Y1" s="6" t="s">
        <v>1298</v>
      </c>
      <c r="Z1" s="7" t="s">
        <v>1299</v>
      </c>
      <c r="AA1" s="213" t="s">
        <v>1300</v>
      </c>
      <c r="AB1" s="213"/>
      <c r="AC1" s="42" t="s">
        <v>8</v>
      </c>
      <c r="AD1" s="7" t="s">
        <v>11</v>
      </c>
      <c r="AE1" s="212" t="s">
        <v>1301</v>
      </c>
      <c r="AF1" s="214"/>
      <c r="AG1" s="214"/>
    </row>
    <row r="2" spans="1:33" ht="26.25" customHeight="1">
      <c r="A2" s="33">
        <v>46095</v>
      </c>
      <c r="B2" s="34" t="s">
        <v>756</v>
      </c>
      <c r="C2" s="2" t="s">
        <v>13</v>
      </c>
      <c r="D2" s="9">
        <f>AVERAGE(N10,N13,N46,N55,N18,N60,N24,N30,N37,N66)</f>
        <v>144.22018820720251</v>
      </c>
      <c r="E2" s="10" t="s">
        <v>14</v>
      </c>
      <c r="F2" s="11">
        <f>F1/D1</f>
        <v>33.732371431840271</v>
      </c>
      <c r="G2" s="1" t="s">
        <v>1302</v>
      </c>
      <c r="H2" s="12">
        <f>COUNT(H5:H66)</f>
        <v>3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SUM(Y10+Y13+Y18+Y24+Y30+Y37+Y46+Y55+Y60+Y66)</f>
        <v>0</v>
      </c>
      <c r="Z2" s="13">
        <f>SUM(Z10+Z13+Z18+Z24+Z30+Z37+Z46+Z55+Z60+Z66)</f>
        <v>0</v>
      </c>
      <c r="AA2" s="213"/>
      <c r="AB2" s="213"/>
      <c r="AC2" s="13">
        <v>52</v>
      </c>
      <c r="AD2" s="13">
        <f>SUM(AD10+AD13+AD18+AD24+AD30+AD37+AD46+AD55+AD60+AD66)</f>
        <v>0</v>
      </c>
      <c r="AE2" s="214"/>
      <c r="AF2" s="214"/>
      <c r="AG2" s="214"/>
    </row>
    <row r="3" spans="1:33" ht="40.5" customHeight="1">
      <c r="A3" s="162" t="s">
        <v>1303</v>
      </c>
      <c r="B3" s="162" t="s">
        <v>1304</v>
      </c>
      <c r="C3" s="162" t="s">
        <v>1305</v>
      </c>
      <c r="D3" s="162"/>
      <c r="E3" s="210" t="s">
        <v>19</v>
      </c>
      <c r="F3" s="162" t="s">
        <v>264</v>
      </c>
      <c r="G3" s="210" t="s">
        <v>1306</v>
      </c>
      <c r="H3" s="204" t="s">
        <v>22</v>
      </c>
      <c r="I3" s="202" t="s">
        <v>267</v>
      </c>
      <c r="J3" s="199" t="s">
        <v>1307</v>
      </c>
      <c r="K3" s="209" t="s">
        <v>1308</v>
      </c>
      <c r="L3" s="202" t="s">
        <v>267</v>
      </c>
      <c r="M3" s="199" t="s">
        <v>34</v>
      </c>
      <c r="N3" s="209" t="s">
        <v>13</v>
      </c>
      <c r="O3" s="202" t="s">
        <v>267</v>
      </c>
      <c r="P3" s="209" t="s">
        <v>1278</v>
      </c>
      <c r="Q3" s="200" t="s">
        <v>25</v>
      </c>
      <c r="R3" s="178" t="s">
        <v>26</v>
      </c>
      <c r="S3" s="162" t="s">
        <v>27</v>
      </c>
      <c r="T3" s="162"/>
      <c r="U3" s="204" t="s">
        <v>28</v>
      </c>
      <c r="V3" s="204" t="s">
        <v>1309</v>
      </c>
      <c r="W3" s="162" t="s">
        <v>1310</v>
      </c>
      <c r="X3" s="162"/>
      <c r="Y3" s="205" t="s">
        <v>1311</v>
      </c>
      <c r="Z3" s="166"/>
      <c r="AA3" s="206" t="s">
        <v>1312</v>
      </c>
      <c r="AB3" s="207"/>
      <c r="AC3" s="205" t="s">
        <v>1313</v>
      </c>
      <c r="AD3" s="166"/>
      <c r="AE3" s="199" t="s">
        <v>1314</v>
      </c>
      <c r="AF3" s="200" t="s">
        <v>1315</v>
      </c>
      <c r="AG3" s="178" t="s">
        <v>1316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1317</v>
      </c>
      <c r="X4" s="4" t="s">
        <v>1318</v>
      </c>
      <c r="Y4" s="14" t="s">
        <v>1319</v>
      </c>
      <c r="Z4" s="14" t="s">
        <v>180</v>
      </c>
      <c r="AA4" s="208"/>
      <c r="AB4" s="207"/>
      <c r="AC4" s="14" t="s">
        <v>1320</v>
      </c>
      <c r="AD4" s="14" t="s">
        <v>1321</v>
      </c>
      <c r="AE4" s="199"/>
      <c r="AF4" s="200"/>
      <c r="AG4" s="178"/>
    </row>
    <row r="5" spans="1:33">
      <c r="A5" s="201" t="s">
        <v>1322</v>
      </c>
      <c r="B5" s="35" t="s">
        <v>78</v>
      </c>
      <c r="C5" s="203" t="s">
        <v>79</v>
      </c>
      <c r="D5" s="203"/>
      <c r="E5" s="35">
        <v>50.67</v>
      </c>
      <c r="F5" s="4">
        <v>1441</v>
      </c>
      <c r="G5" s="4">
        <f t="shared" ref="G5:G9" si="0">E5*F5</f>
        <v>73015.47</v>
      </c>
      <c r="H5" s="21" t="s">
        <v>133</v>
      </c>
      <c r="I5" s="15">
        <v>17</v>
      </c>
      <c r="J5" s="17">
        <v>2000</v>
      </c>
      <c r="K5" s="16">
        <f t="shared" ref="K5:K66" si="1">J5/I5</f>
        <v>117.64705882352941</v>
      </c>
      <c r="L5" s="15">
        <v>17</v>
      </c>
      <c r="M5" s="17">
        <f t="shared" ref="M5:M9" si="2">F5/V5*60</f>
        <v>1921.3333333333335</v>
      </c>
      <c r="N5" s="16">
        <f t="shared" ref="N5:N66" si="3">M5/L5</f>
        <v>113.01960784313727</v>
      </c>
      <c r="O5" s="18">
        <f t="shared" ref="O5:O66" si="4">L5-I5</f>
        <v>0</v>
      </c>
      <c r="P5" s="19">
        <f t="shared" ref="P5:P66" si="5">N5-K5</f>
        <v>-4.6274509803921404</v>
      </c>
      <c r="Q5" s="20">
        <f t="shared" ref="Q5:Q66" si="6">N5/K5</f>
        <v>0.96066666666666678</v>
      </c>
      <c r="R5" s="170">
        <f>Q10</f>
        <v>0.95810003580379632</v>
      </c>
      <c r="S5" s="27">
        <v>0.70833333333333337</v>
      </c>
      <c r="T5" s="27">
        <v>0.73958333333333337</v>
      </c>
      <c r="U5" s="4"/>
      <c r="V5" s="21">
        <f t="shared" ref="V5:V9" si="7">(T5-S5)*24*60</f>
        <v>45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54" si="8">M5-J5</f>
        <v>-78.666666666666515</v>
      </c>
      <c r="AF5" s="20">
        <f t="shared" ref="AF5:AF66" si="9">M5/J5</f>
        <v>0.96066666666666678</v>
      </c>
      <c r="AG5" s="170">
        <f>AF10</f>
        <v>0.95810003580379632</v>
      </c>
    </row>
    <row r="6" spans="1:33">
      <c r="A6" s="202" t="s">
        <v>45</v>
      </c>
      <c r="B6" s="35" t="s">
        <v>78</v>
      </c>
      <c r="C6" s="203" t="s">
        <v>80</v>
      </c>
      <c r="D6" s="203"/>
      <c r="E6" s="35">
        <v>54.09</v>
      </c>
      <c r="F6" s="4">
        <v>1207</v>
      </c>
      <c r="G6" s="4">
        <f t="shared" si="0"/>
        <v>65286.630000000005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1905.789473684209</v>
      </c>
      <c r="N6" s="16">
        <f t="shared" si="3"/>
        <v>100.30470914127416</v>
      </c>
      <c r="O6" s="18">
        <f t="shared" si="4"/>
        <v>0</v>
      </c>
      <c r="P6" s="19">
        <f t="shared" si="5"/>
        <v>-4.958448753462676</v>
      </c>
      <c r="Q6" s="20">
        <f t="shared" si="6"/>
        <v>0.95289473684210457</v>
      </c>
      <c r="R6" s="170"/>
      <c r="S6" s="27">
        <v>0.74305555555555558</v>
      </c>
      <c r="T6" s="27">
        <v>0.76944444444444449</v>
      </c>
      <c r="U6" s="4">
        <f t="shared" ref="U6:U9" si="10">IF(S6=TIME(17,0,0),"",(S6-T5)*24*60)</f>
        <v>4.9999999999999822</v>
      </c>
      <c r="V6" s="21">
        <f t="shared" si="7"/>
        <v>38.000000000000028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-94.210526315790958</v>
      </c>
      <c r="AF6" s="20">
        <f t="shared" si="9"/>
        <v>0.95289473684210457</v>
      </c>
      <c r="AG6" s="170"/>
    </row>
    <row r="7" spans="1:33">
      <c r="A7" s="202" t="s">
        <v>45</v>
      </c>
      <c r="B7" s="35" t="s">
        <v>78</v>
      </c>
      <c r="C7" s="197" t="s">
        <v>81</v>
      </c>
      <c r="D7" s="198"/>
      <c r="E7" s="35">
        <v>50.29</v>
      </c>
      <c r="F7" s="4">
        <v>357</v>
      </c>
      <c r="G7" s="4">
        <f t="shared" si="0"/>
        <v>17953.53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1947.2727272727341</v>
      </c>
      <c r="N7" s="16">
        <f t="shared" si="3"/>
        <v>121.70454545454588</v>
      </c>
      <c r="O7" s="18">
        <f t="shared" si="4"/>
        <v>0</v>
      </c>
      <c r="P7" s="19">
        <f t="shared" si="5"/>
        <v>-3.2954545454541204</v>
      </c>
      <c r="Q7" s="20">
        <f t="shared" si="6"/>
        <v>0.97363636363636707</v>
      </c>
      <c r="R7" s="170"/>
      <c r="S7" s="27">
        <v>0.77361111111111114</v>
      </c>
      <c r="T7" s="27">
        <v>0.78125</v>
      </c>
      <c r="U7" s="4">
        <f t="shared" si="10"/>
        <v>5.9999999999999787</v>
      </c>
      <c r="V7" s="21">
        <f t="shared" si="7"/>
        <v>10.999999999999961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-52.727272727265927</v>
      </c>
      <c r="AF7" s="20">
        <f t="shared" si="9"/>
        <v>0.97363636363636707</v>
      </c>
      <c r="AG7" s="170"/>
    </row>
    <row r="8" spans="1:33">
      <c r="A8" s="202" t="s">
        <v>1037</v>
      </c>
      <c r="B8" s="35" t="s">
        <v>78</v>
      </c>
      <c r="C8" s="197" t="s">
        <v>82</v>
      </c>
      <c r="D8" s="198"/>
      <c r="E8" s="35">
        <v>50.67</v>
      </c>
      <c r="F8" s="4">
        <v>347</v>
      </c>
      <c r="G8" s="4">
        <f t="shared" si="0"/>
        <v>17582.490000000002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1892.7272727272793</v>
      </c>
      <c r="N8" s="16">
        <f t="shared" si="3"/>
        <v>90.12987012987044</v>
      </c>
      <c r="O8" s="18">
        <f t="shared" si="4"/>
        <v>0</v>
      </c>
      <c r="P8" s="19">
        <f t="shared" si="5"/>
        <v>-5.1082251082248007</v>
      </c>
      <c r="Q8" s="20">
        <f t="shared" si="6"/>
        <v>0.94636363636363963</v>
      </c>
      <c r="R8" s="170"/>
      <c r="S8" s="27">
        <v>0.78680555555555554</v>
      </c>
      <c r="T8" s="27">
        <v>0.7944444444444444</v>
      </c>
      <c r="U8" s="4">
        <f t="shared" si="10"/>
        <v>7.9999999999999716</v>
      </c>
      <c r="V8" s="21">
        <f t="shared" si="7"/>
        <v>10.999999999999961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-107.27272727272066</v>
      </c>
      <c r="AF8" s="20">
        <f t="shared" si="9"/>
        <v>0.94636363636363963</v>
      </c>
      <c r="AG8" s="170"/>
    </row>
    <row r="9" spans="1:33">
      <c r="A9" s="202" t="s">
        <v>1322</v>
      </c>
      <c r="B9" s="35" t="s">
        <v>78</v>
      </c>
      <c r="C9" s="197" t="s">
        <v>91</v>
      </c>
      <c r="D9" s="198"/>
      <c r="E9" s="35">
        <v>50.67</v>
      </c>
      <c r="F9" s="4">
        <v>1563</v>
      </c>
      <c r="G9" s="4">
        <f t="shared" si="0"/>
        <v>79197.210000000006</v>
      </c>
      <c r="H9" s="21" t="s">
        <v>133</v>
      </c>
      <c r="I9" s="15">
        <v>15</v>
      </c>
      <c r="J9" s="17">
        <v>2000</v>
      </c>
      <c r="K9" s="16">
        <f t="shared" si="1"/>
        <v>133.33333333333334</v>
      </c>
      <c r="L9" s="15">
        <v>15</v>
      </c>
      <c r="M9" s="17">
        <f t="shared" si="2"/>
        <v>1913.8775510204086</v>
      </c>
      <c r="N9" s="16">
        <f t="shared" si="3"/>
        <v>127.59183673469391</v>
      </c>
      <c r="O9" s="18">
        <f t="shared" si="4"/>
        <v>0</v>
      </c>
      <c r="P9" s="19">
        <f t="shared" si="5"/>
        <v>-5.7414965986394293</v>
      </c>
      <c r="Q9" s="20">
        <f t="shared" si="6"/>
        <v>0.95693877551020423</v>
      </c>
      <c r="R9" s="170"/>
      <c r="S9" s="27">
        <v>0.79722222222222217</v>
      </c>
      <c r="T9" s="27">
        <v>0.83124999999999993</v>
      </c>
      <c r="U9" s="4">
        <f t="shared" si="10"/>
        <v>3.9999999999999858</v>
      </c>
      <c r="V9" s="21">
        <f t="shared" si="7"/>
        <v>48.999999999999986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-86.122448979591354</v>
      </c>
      <c r="AF9" s="20">
        <f t="shared" si="9"/>
        <v>0.95693877551020434</v>
      </c>
      <c r="AG9" s="170"/>
    </row>
    <row r="10" spans="1:33">
      <c r="A10" s="202" t="s">
        <v>1322</v>
      </c>
      <c r="B10" s="35" t="s">
        <v>48</v>
      </c>
      <c r="C10" s="171"/>
      <c r="D10" s="171"/>
      <c r="E10" s="36"/>
      <c r="F10" s="16"/>
      <c r="G10" s="16"/>
      <c r="H10" s="4"/>
      <c r="I10" s="29">
        <v>17.600000000000001</v>
      </c>
      <c r="J10" s="17">
        <v>2000</v>
      </c>
      <c r="K10" s="16">
        <f t="shared" si="1"/>
        <v>113.63636363636363</v>
      </c>
      <c r="L10" s="29">
        <v>17.600000000000001</v>
      </c>
      <c r="M10" s="17">
        <f>AVERAGE(M5:M9)</f>
        <v>1916.2000716075927</v>
      </c>
      <c r="N10" s="16">
        <f t="shared" si="3"/>
        <v>108.87500406861321</v>
      </c>
      <c r="O10" s="18">
        <f t="shared" si="4"/>
        <v>0</v>
      </c>
      <c r="P10" s="19">
        <f t="shared" si="5"/>
        <v>-4.7613595677504179</v>
      </c>
      <c r="Q10" s="20">
        <f t="shared" si="6"/>
        <v>0.95810003580379632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-83.79992839240731</v>
      </c>
      <c r="AF10" s="20">
        <f t="shared" si="9"/>
        <v>0.95810003580379632</v>
      </c>
      <c r="AG10" s="170"/>
    </row>
    <row r="11" spans="1:33" ht="15.75" customHeight="1">
      <c r="A11" s="196" t="s">
        <v>283</v>
      </c>
      <c r="B11" s="35" t="s">
        <v>84</v>
      </c>
      <c r="C11" s="197" t="s">
        <v>85</v>
      </c>
      <c r="D11" s="198"/>
      <c r="E11" s="35">
        <v>39.619999999999997</v>
      </c>
      <c r="F11" s="4">
        <v>3764</v>
      </c>
      <c r="G11" s="4">
        <f t="shared" ref="G11:G12" si="11">E11*F11</f>
        <v>149129.68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1438.471337579618</v>
      </c>
      <c r="N11" s="16">
        <f t="shared" si="3"/>
        <v>75.709017767348314</v>
      </c>
      <c r="O11" s="18">
        <f t="shared" si="4"/>
        <v>0</v>
      </c>
      <c r="P11" s="19">
        <f t="shared" si="5"/>
        <v>-3.2383506537043161</v>
      </c>
      <c r="Q11" s="20">
        <f t="shared" si="6"/>
        <v>0.95898089171974532</v>
      </c>
      <c r="R11" s="170">
        <f>Q13</f>
        <v>0.95553982857592223</v>
      </c>
      <c r="S11" s="27">
        <v>0.20833333333333334</v>
      </c>
      <c r="T11" s="27">
        <v>0.31736111111111109</v>
      </c>
      <c r="U11" s="4"/>
      <c r="V11" s="21">
        <f t="shared" ref="V11:V12" si="13">(T11-S11)*24*60</f>
        <v>156.99999999999997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-61.528662420382034</v>
      </c>
      <c r="AF11" s="20">
        <f t="shared" si="9"/>
        <v>0.95898089171974532</v>
      </c>
      <c r="AG11" s="170">
        <f>AF13</f>
        <v>0.95553982857592212</v>
      </c>
    </row>
    <row r="12" spans="1:33" ht="15.75" customHeight="1">
      <c r="A12" s="196" t="s">
        <v>283</v>
      </c>
      <c r="B12" s="35" t="s">
        <v>84</v>
      </c>
      <c r="C12" s="197" t="s">
        <v>86</v>
      </c>
      <c r="D12" s="198"/>
      <c r="E12" s="35">
        <v>39.799999999999997</v>
      </c>
      <c r="F12" s="4">
        <v>5784</v>
      </c>
      <c r="G12" s="4">
        <f t="shared" si="11"/>
        <v>230203.19999999998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1428.1481481481485</v>
      </c>
      <c r="N12" s="16">
        <f t="shared" si="3"/>
        <v>84.008714596949915</v>
      </c>
      <c r="O12" s="18">
        <f t="shared" si="4"/>
        <v>0</v>
      </c>
      <c r="P12" s="19">
        <f t="shared" si="5"/>
        <v>-4.2265795206971433</v>
      </c>
      <c r="Q12" s="20">
        <f t="shared" si="6"/>
        <v>0.95209876543209904</v>
      </c>
      <c r="R12" s="170"/>
      <c r="S12" s="27">
        <v>0.32291666666666663</v>
      </c>
      <c r="T12" s="27">
        <v>0.49166666666666659</v>
      </c>
      <c r="U12" s="4">
        <f t="shared" ref="U12" si="14">IF(S12=TIME(17,0,0),"",(S12-T11)*24*60)</f>
        <v>7.9999999999999716</v>
      </c>
      <c r="V12" s="21">
        <f t="shared" si="13"/>
        <v>242.99999999999994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-71.851851851851507</v>
      </c>
      <c r="AF12" s="20">
        <f t="shared" si="9"/>
        <v>0.95209876543209904</v>
      </c>
      <c r="AG12" s="170"/>
    </row>
    <row r="13" spans="1:33" ht="16.5" customHeight="1">
      <c r="A13" s="196" t="s">
        <v>283</v>
      </c>
      <c r="B13" s="35" t="s">
        <v>48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1433.3097428638832</v>
      </c>
      <c r="N13" s="16">
        <f t="shared" si="3"/>
        <v>79.628319047993514</v>
      </c>
      <c r="O13" s="18">
        <f t="shared" si="4"/>
        <v>0</v>
      </c>
      <c r="P13" s="19">
        <f t="shared" si="5"/>
        <v>-3.7050142853398143</v>
      </c>
      <c r="Q13" s="20">
        <f t="shared" si="6"/>
        <v>0.95553982857592223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v>2</v>
      </c>
      <c r="AD13" s="30">
        <f>SUM(AD11:AD12)</f>
        <v>0</v>
      </c>
      <c r="AE13" s="18">
        <f t="shared" si="8"/>
        <v>-66.69025713611677</v>
      </c>
      <c r="AF13" s="20">
        <f t="shared" si="9"/>
        <v>0.95553982857592212</v>
      </c>
      <c r="AG13" s="170"/>
    </row>
    <row r="14" spans="1:33" ht="16.5" customHeight="1">
      <c r="A14" s="194" t="s">
        <v>50</v>
      </c>
      <c r="B14" s="4" t="s">
        <v>87</v>
      </c>
      <c r="C14" s="190" t="s">
        <v>88</v>
      </c>
      <c r="D14" s="190"/>
      <c r="E14" s="35">
        <v>41</v>
      </c>
      <c r="F14" s="4">
        <v>3056</v>
      </c>
      <c r="G14" s="4">
        <f t="shared" ref="G14:G17" si="15">E14*F14</f>
        <v>125296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1432.5000000000002</v>
      </c>
      <c r="N14" s="16">
        <f t="shared" si="3"/>
        <v>55.096153846153854</v>
      </c>
      <c r="O14" s="18">
        <f t="shared" si="4"/>
        <v>0</v>
      </c>
      <c r="P14" s="19">
        <f t="shared" si="5"/>
        <v>-2.5961538461538396</v>
      </c>
      <c r="Q14" s="20">
        <f t="shared" si="6"/>
        <v>0.95500000000000007</v>
      </c>
      <c r="R14" s="170">
        <f>Q18</f>
        <v>0.96016899728997362</v>
      </c>
      <c r="S14" s="27">
        <v>0.20833333333333334</v>
      </c>
      <c r="T14" s="27">
        <v>0.29722222222222222</v>
      </c>
      <c r="U14" s="4"/>
      <c r="V14" s="21">
        <f t="shared" ref="V14:V17" si="17">(T14-S14)*24*60</f>
        <v>127.99999999999997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-67.499999999999773</v>
      </c>
      <c r="AF14" s="20">
        <f t="shared" si="9"/>
        <v>0.95500000000000018</v>
      </c>
      <c r="AG14" s="170">
        <f>AF18</f>
        <v>0.96016899728997351</v>
      </c>
    </row>
    <row r="15" spans="1:33" ht="16.5" customHeight="1">
      <c r="A15" s="195" t="s">
        <v>50</v>
      </c>
      <c r="B15" s="4" t="s">
        <v>78</v>
      </c>
      <c r="C15" s="190" t="s">
        <v>89</v>
      </c>
      <c r="D15" s="190"/>
      <c r="E15" s="35">
        <v>50.98</v>
      </c>
      <c r="F15" s="4">
        <v>2603</v>
      </c>
      <c r="G15" s="4">
        <f t="shared" si="15"/>
        <v>132700.94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1904.6341463414626</v>
      </c>
      <c r="N15" s="16">
        <f t="shared" si="3"/>
        <v>119.03963414634141</v>
      </c>
      <c r="O15" s="18">
        <f t="shared" si="4"/>
        <v>0</v>
      </c>
      <c r="P15" s="19">
        <f t="shared" si="5"/>
        <v>-5.9603658536585868</v>
      </c>
      <c r="Q15" s="20">
        <f t="shared" si="6"/>
        <v>0.95231707317073133</v>
      </c>
      <c r="R15" s="170"/>
      <c r="S15" s="27">
        <v>0.70833333333333337</v>
      </c>
      <c r="T15" s="27">
        <v>0.76527777777777783</v>
      </c>
      <c r="U15" s="4" t="str">
        <f t="shared" ref="U15:U17" si="18">IF(S15=TIME(17,0,0),"",(S15-T14)*24*60)</f>
        <v/>
      </c>
      <c r="V15" s="21">
        <f t="shared" si="17"/>
        <v>82.000000000000028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-95.365853658537389</v>
      </c>
      <c r="AF15" s="20">
        <f t="shared" si="9"/>
        <v>0.95231707317073133</v>
      </c>
      <c r="AG15" s="170"/>
    </row>
    <row r="16" spans="1:33" ht="16.5" customHeight="1">
      <c r="A16" s="195" t="s">
        <v>50</v>
      </c>
      <c r="B16" s="4" t="s">
        <v>78</v>
      </c>
      <c r="C16" s="190" t="s">
        <v>90</v>
      </c>
      <c r="D16" s="190"/>
      <c r="E16" s="35">
        <v>50.92</v>
      </c>
      <c r="F16" s="4">
        <v>2401</v>
      </c>
      <c r="G16" s="4">
        <f t="shared" si="15"/>
        <v>122258.92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1920.7999999999984</v>
      </c>
      <c r="N16" s="16">
        <f t="shared" si="3"/>
        <v>128.05333333333323</v>
      </c>
      <c r="O16" s="18">
        <f t="shared" si="4"/>
        <v>0</v>
      </c>
      <c r="P16" s="19">
        <f t="shared" si="5"/>
        <v>-5.2800000000001148</v>
      </c>
      <c r="Q16" s="20">
        <f t="shared" si="6"/>
        <v>0.96039999999999914</v>
      </c>
      <c r="R16" s="170"/>
      <c r="S16" s="27">
        <v>0.77083333333333337</v>
      </c>
      <c r="T16" s="27">
        <v>0.82291666666666674</v>
      </c>
      <c r="U16" s="4">
        <f t="shared" si="18"/>
        <v>7.9999999999999716</v>
      </c>
      <c r="V16" s="21">
        <f t="shared" si="17"/>
        <v>75.000000000000057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-79.200000000001637</v>
      </c>
      <c r="AF16" s="20">
        <f t="shared" si="9"/>
        <v>0.96039999999999914</v>
      </c>
      <c r="AG16" s="170"/>
    </row>
    <row r="17" spans="1:33" ht="16.5" customHeight="1">
      <c r="A17" s="195" t="s">
        <v>50</v>
      </c>
      <c r="B17" s="4" t="s">
        <v>78</v>
      </c>
      <c r="C17" s="190" t="s">
        <v>83</v>
      </c>
      <c r="D17" s="190"/>
      <c r="E17" s="35">
        <v>50.67</v>
      </c>
      <c r="F17" s="4">
        <v>583</v>
      </c>
      <c r="G17" s="4">
        <f t="shared" si="15"/>
        <v>29540.61</v>
      </c>
      <c r="H17" s="21" t="s">
        <v>133</v>
      </c>
      <c r="I17" s="15">
        <v>16</v>
      </c>
      <c r="J17" s="17">
        <v>2000</v>
      </c>
      <c r="K17" s="16">
        <f t="shared" si="1"/>
        <v>125</v>
      </c>
      <c r="L17" s="15">
        <v>16</v>
      </c>
      <c r="M17" s="17">
        <f t="shared" si="16"/>
        <v>1943.3333333333403</v>
      </c>
      <c r="N17" s="16">
        <f t="shared" si="3"/>
        <v>121.45833333333377</v>
      </c>
      <c r="O17" s="18">
        <f t="shared" si="4"/>
        <v>0</v>
      </c>
      <c r="P17" s="19">
        <f t="shared" si="5"/>
        <v>-3.5416666666662309</v>
      </c>
      <c r="Q17" s="20">
        <f t="shared" si="6"/>
        <v>0.97166666666667012</v>
      </c>
      <c r="R17" s="170"/>
      <c r="S17" s="27">
        <v>0.82638888888888895</v>
      </c>
      <c r="T17" s="27">
        <v>0.83888888888888891</v>
      </c>
      <c r="U17" s="4">
        <f t="shared" si="18"/>
        <v>4.9999999999999822</v>
      </c>
      <c r="V17" s="21">
        <f t="shared" si="17"/>
        <v>17.999999999999936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-56.666666666659694</v>
      </c>
      <c r="AF17" s="20">
        <f t="shared" si="9"/>
        <v>0.97166666666667012</v>
      </c>
      <c r="AG17" s="170"/>
    </row>
    <row r="18" spans="1:33" ht="16.5" customHeight="1">
      <c r="A18" s="195" t="s">
        <v>1323</v>
      </c>
      <c r="B18" s="35" t="s">
        <v>48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1800.3168699187004</v>
      </c>
      <c r="N18" s="16">
        <f t="shared" si="3"/>
        <v>98.647499721572629</v>
      </c>
      <c r="O18" s="18">
        <f t="shared" si="4"/>
        <v>0</v>
      </c>
      <c r="P18" s="19">
        <f t="shared" si="5"/>
        <v>-4.0922263058246244</v>
      </c>
      <c r="Q18" s="20">
        <f t="shared" si="6"/>
        <v>0.96016899728997362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-74.683130081299623</v>
      </c>
      <c r="AF18" s="20">
        <f t="shared" si="9"/>
        <v>0.96016899728997351</v>
      </c>
      <c r="AG18" s="170"/>
    </row>
    <row r="19" spans="1:33" ht="15.75" customHeight="1">
      <c r="A19" s="192" t="s">
        <v>1324</v>
      </c>
      <c r="B19" s="35" t="s">
        <v>78</v>
      </c>
      <c r="C19" s="190" t="s">
        <v>92</v>
      </c>
      <c r="D19" s="190"/>
      <c r="E19" s="35">
        <v>57.73</v>
      </c>
      <c r="F19" s="4">
        <v>2385</v>
      </c>
      <c r="G19" s="4">
        <f t="shared" ref="G19:G23" si="19">E19*F19</f>
        <v>137686.04999999999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3" si="20">F19/V19*60</f>
        <v>1907.9999999999995</v>
      </c>
      <c r="N19" s="16">
        <f t="shared" si="3"/>
        <v>136.28571428571425</v>
      </c>
      <c r="O19" s="18">
        <f t="shared" si="4"/>
        <v>0</v>
      </c>
      <c r="P19" s="19">
        <f t="shared" si="5"/>
        <v>-6.571428571428612</v>
      </c>
      <c r="Q19" s="20">
        <f t="shared" si="6"/>
        <v>0.95399999999999974</v>
      </c>
      <c r="R19" s="170">
        <f>Q24</f>
        <v>0.95978930933892115</v>
      </c>
      <c r="S19" s="27">
        <v>0.20833333333333334</v>
      </c>
      <c r="T19" s="27">
        <v>0.26041666666666669</v>
      </c>
      <c r="U19" s="4"/>
      <c r="V19" s="21">
        <f t="shared" ref="V19:V23" si="21">(T19-S19)*24*60</f>
        <v>75.000000000000014</v>
      </c>
      <c r="W19" s="27"/>
      <c r="X19" s="27"/>
      <c r="Y19" s="27"/>
      <c r="Z19" s="27"/>
      <c r="AA19" s="162"/>
      <c r="AB19" s="162"/>
      <c r="AC19" s="24">
        <v>5</v>
      </c>
      <c r="AD19" s="24"/>
      <c r="AE19" s="18">
        <f t="shared" si="8"/>
        <v>-92.000000000000455</v>
      </c>
      <c r="AF19" s="20">
        <f t="shared" si="9"/>
        <v>0.95399999999999974</v>
      </c>
      <c r="AG19" s="170">
        <f>AF24</f>
        <v>0.95978930933892115</v>
      </c>
    </row>
    <row r="20" spans="1:33" ht="15.75" customHeight="1">
      <c r="A20" s="193" t="s">
        <v>1325</v>
      </c>
      <c r="B20" s="35" t="s">
        <v>78</v>
      </c>
      <c r="C20" s="190" t="s">
        <v>93</v>
      </c>
      <c r="D20" s="190"/>
      <c r="E20" s="35">
        <v>53.68</v>
      </c>
      <c r="F20" s="4">
        <v>1451</v>
      </c>
      <c r="G20" s="4">
        <f t="shared" si="19"/>
        <v>77889.679999999993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1934.6666666666667</v>
      </c>
      <c r="N20" s="16">
        <f t="shared" si="3"/>
        <v>120.91666666666667</v>
      </c>
      <c r="O20" s="18">
        <f t="shared" si="4"/>
        <v>0</v>
      </c>
      <c r="P20" s="19">
        <f t="shared" si="5"/>
        <v>-4.0833333333333286</v>
      </c>
      <c r="Q20" s="20">
        <f t="shared" si="6"/>
        <v>0.96733333333333338</v>
      </c>
      <c r="R20" s="170"/>
      <c r="S20" s="27">
        <v>0.26597222222222222</v>
      </c>
      <c r="T20" s="27">
        <v>0.29722222222222222</v>
      </c>
      <c r="U20" s="4">
        <f t="shared" ref="U20:U23" si="22">IF(S20=TIME(17,0,0),"",(S20-T19)*24*60)</f>
        <v>7.9999999999999716</v>
      </c>
      <c r="V20" s="21">
        <f t="shared" si="21"/>
        <v>45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-65.333333333333258</v>
      </c>
      <c r="AF20" s="20">
        <f t="shared" si="9"/>
        <v>0.96733333333333338</v>
      </c>
      <c r="AG20" s="170"/>
    </row>
    <row r="21" spans="1:33" ht="15.75" customHeight="1">
      <c r="A21" s="193" t="s">
        <v>285</v>
      </c>
      <c r="B21" s="35" t="s">
        <v>78</v>
      </c>
      <c r="C21" s="190" t="s">
        <v>94</v>
      </c>
      <c r="D21" s="190"/>
      <c r="E21" s="35">
        <v>50.49</v>
      </c>
      <c r="F21" s="4">
        <v>1955</v>
      </c>
      <c r="G21" s="4">
        <f t="shared" si="19"/>
        <v>98707.95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1922.9508196721329</v>
      </c>
      <c r="N21" s="16">
        <f t="shared" si="3"/>
        <v>128.19672131147553</v>
      </c>
      <c r="O21" s="18">
        <f t="shared" si="4"/>
        <v>0</v>
      </c>
      <c r="P21" s="19">
        <f t="shared" si="5"/>
        <v>-5.1366120218578146</v>
      </c>
      <c r="Q21" s="20">
        <f t="shared" si="6"/>
        <v>0.96147540983606639</v>
      </c>
      <c r="R21" s="170"/>
      <c r="S21" s="27">
        <v>0.70833333333333337</v>
      </c>
      <c r="T21" s="27">
        <v>0.75069444444444444</v>
      </c>
      <c r="U21" s="4" t="str">
        <f t="shared" si="22"/>
        <v/>
      </c>
      <c r="V21" s="21">
        <f t="shared" si="21"/>
        <v>60.999999999999943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-77.049180327867134</v>
      </c>
      <c r="AF21" s="20">
        <f t="shared" si="9"/>
        <v>0.96147540983606639</v>
      </c>
      <c r="AG21" s="170"/>
    </row>
    <row r="22" spans="1:33" ht="15.75" customHeight="1">
      <c r="A22" s="193" t="s">
        <v>1326</v>
      </c>
      <c r="B22" s="35" t="s">
        <v>78</v>
      </c>
      <c r="C22" s="190" t="s">
        <v>96</v>
      </c>
      <c r="D22" s="190"/>
      <c r="E22" s="35">
        <v>57.3</v>
      </c>
      <c r="F22" s="4">
        <v>1725</v>
      </c>
      <c r="G22" s="4">
        <f t="shared" si="19"/>
        <v>98842.5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1916.6666666666677</v>
      </c>
      <c r="N22" s="16">
        <f t="shared" si="3"/>
        <v>147.43589743589752</v>
      </c>
      <c r="O22" s="18">
        <f t="shared" si="4"/>
        <v>0</v>
      </c>
      <c r="P22" s="19">
        <f t="shared" si="5"/>
        <v>-6.4102564102563235</v>
      </c>
      <c r="Q22" s="20">
        <f t="shared" si="6"/>
        <v>0.95833333333333393</v>
      </c>
      <c r="R22" s="170"/>
      <c r="S22" s="27">
        <v>0.75416666666666665</v>
      </c>
      <c r="T22" s="27">
        <v>0.79166666666666663</v>
      </c>
      <c r="U22" s="4">
        <f t="shared" si="22"/>
        <v>4.9999999999999822</v>
      </c>
      <c r="V22" s="21">
        <f t="shared" si="21"/>
        <v>53.999999999999972</v>
      </c>
      <c r="W22" s="22"/>
      <c r="X22" s="22"/>
      <c r="Y22" s="4"/>
      <c r="Z22" s="4"/>
      <c r="AA22" s="162"/>
      <c r="AB22" s="162"/>
      <c r="AC22" s="24"/>
      <c r="AD22" s="24"/>
      <c r="AE22" s="18">
        <f t="shared" si="8"/>
        <v>-83.333333333332348</v>
      </c>
      <c r="AF22" s="20">
        <f t="shared" si="9"/>
        <v>0.95833333333333381</v>
      </c>
      <c r="AG22" s="170"/>
    </row>
    <row r="23" spans="1:33" ht="15.75" customHeight="1">
      <c r="A23" s="193" t="s">
        <v>285</v>
      </c>
      <c r="B23" s="35" t="s">
        <v>78</v>
      </c>
      <c r="C23" s="190" t="s">
        <v>95</v>
      </c>
      <c r="D23" s="190"/>
      <c r="E23" s="35">
        <v>53.68</v>
      </c>
      <c r="F23" s="4">
        <v>1675</v>
      </c>
      <c r="G23" s="4">
        <f t="shared" si="19"/>
        <v>89914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1435.7142857142844</v>
      </c>
      <c r="N23" s="16">
        <f t="shared" si="3"/>
        <v>89.732142857142776</v>
      </c>
      <c r="O23" s="18">
        <f t="shared" si="4"/>
        <v>0</v>
      </c>
      <c r="P23" s="19">
        <f t="shared" si="5"/>
        <v>-4.0178571428572241</v>
      </c>
      <c r="Q23" s="20">
        <f t="shared" si="6"/>
        <v>0.9571428571428563</v>
      </c>
      <c r="R23" s="170"/>
      <c r="S23" s="27">
        <v>0.79722222222222217</v>
      </c>
      <c r="T23" s="27">
        <v>0.84583333333333333</v>
      </c>
      <c r="U23" s="4">
        <f t="shared" si="22"/>
        <v>7.9999999999999716</v>
      </c>
      <c r="V23" s="21">
        <f t="shared" si="21"/>
        <v>70.000000000000071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-64.285714285715585</v>
      </c>
      <c r="AF23" s="20">
        <f t="shared" si="9"/>
        <v>0.9571428571428563</v>
      </c>
      <c r="AG23" s="170"/>
    </row>
    <row r="24" spans="1:33" ht="15.75" customHeight="1">
      <c r="A24" s="193" t="s">
        <v>285</v>
      </c>
      <c r="B24" s="35" t="s">
        <v>48</v>
      </c>
      <c r="C24" s="171"/>
      <c r="D24" s="171"/>
      <c r="E24" s="36"/>
      <c r="F24" s="4"/>
      <c r="G24" s="4"/>
      <c r="H24" s="4"/>
      <c r="I24" s="29">
        <v>14.8</v>
      </c>
      <c r="J24" s="17">
        <v>1900</v>
      </c>
      <c r="K24" s="16">
        <f t="shared" si="1"/>
        <v>128.37837837837839</v>
      </c>
      <c r="L24" s="29">
        <v>14.8</v>
      </c>
      <c r="M24" s="17">
        <f>AVERAGE(M19:M23)</f>
        <v>1823.5996877439502</v>
      </c>
      <c r="N24" s="16">
        <f t="shared" si="3"/>
        <v>123.21619511783447</v>
      </c>
      <c r="O24" s="18">
        <f t="shared" si="4"/>
        <v>0</v>
      </c>
      <c r="P24" s="19">
        <f t="shared" si="5"/>
        <v>-5.1621832605439124</v>
      </c>
      <c r="Q24" s="20">
        <f t="shared" si="6"/>
        <v>0.95978930933892115</v>
      </c>
      <c r="R24" s="170"/>
      <c r="S24" s="27"/>
      <c r="T24" s="27"/>
      <c r="U24" s="16"/>
      <c r="V24" s="21"/>
      <c r="W24" s="16"/>
      <c r="X24" s="16"/>
      <c r="Y24" s="30">
        <f>SUM(Y19:Y23)</f>
        <v>0</v>
      </c>
      <c r="Z24" s="30">
        <f>SUM(Z19:Z23)</f>
        <v>0</v>
      </c>
      <c r="AA24" s="166"/>
      <c r="AB24" s="166"/>
      <c r="AC24" s="30">
        <v>5</v>
      </c>
      <c r="AD24" s="30">
        <f>SUM(AD19:AD23)</f>
        <v>0</v>
      </c>
      <c r="AE24" s="18">
        <f t="shared" si="8"/>
        <v>-76.400312256049801</v>
      </c>
      <c r="AF24" s="20">
        <f t="shared" si="9"/>
        <v>0.95978930933892115</v>
      </c>
      <c r="AG24" s="170"/>
    </row>
    <row r="25" spans="1:33" ht="15.75" customHeight="1">
      <c r="A25" s="191" t="s">
        <v>54</v>
      </c>
      <c r="B25" s="35" t="s">
        <v>97</v>
      </c>
      <c r="C25" s="190" t="s">
        <v>98</v>
      </c>
      <c r="D25" s="190"/>
      <c r="E25" s="35">
        <v>31.29</v>
      </c>
      <c r="F25" s="4">
        <v>7642</v>
      </c>
      <c r="G25" s="4">
        <f t="shared" ref="G25:G29" si="23">E25*F25</f>
        <v>239118.18</v>
      </c>
      <c r="H25" s="21" t="s">
        <v>133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29" si="24">F25/V25*60</f>
        <v>2292.6</v>
      </c>
      <c r="N25" s="16">
        <f t="shared" si="3"/>
        <v>127.36666666666666</v>
      </c>
      <c r="O25" s="18">
        <f t="shared" si="4"/>
        <v>0</v>
      </c>
      <c r="P25" s="19">
        <f t="shared" si="5"/>
        <v>-5.9666666666666828</v>
      </c>
      <c r="Q25" s="20">
        <f t="shared" si="6"/>
        <v>0.95524999999999993</v>
      </c>
      <c r="R25" s="170">
        <f>Q30</f>
        <v>0.9579071962878315</v>
      </c>
      <c r="S25" s="27">
        <v>0.125</v>
      </c>
      <c r="T25" s="27">
        <v>0.2638888888888889</v>
      </c>
      <c r="U25" s="4"/>
      <c r="V25" s="21">
        <f t="shared" ref="V25:V29" si="25">(T25-S25)*24*60</f>
        <v>200</v>
      </c>
      <c r="W25" s="22">
        <f>T25</f>
        <v>0.2638888888888889</v>
      </c>
      <c r="X25" s="22">
        <f>S26</f>
        <v>0.28402777777777777</v>
      </c>
      <c r="Y25" s="22"/>
      <c r="Z25" s="22"/>
      <c r="AA25" s="162"/>
      <c r="AB25" s="162"/>
      <c r="AC25" s="24">
        <v>5</v>
      </c>
      <c r="AD25" s="24"/>
      <c r="AE25" s="18">
        <f t="shared" si="8"/>
        <v>-107.40000000000009</v>
      </c>
      <c r="AF25" s="20">
        <f t="shared" si="9"/>
        <v>0.95524999999999993</v>
      </c>
      <c r="AG25" s="170">
        <f>AF30</f>
        <v>0.9579071962878315</v>
      </c>
    </row>
    <row r="26" spans="1:33" ht="15.75" customHeight="1">
      <c r="A26" s="191" t="s">
        <v>54</v>
      </c>
      <c r="B26" s="35" t="s">
        <v>97</v>
      </c>
      <c r="C26" s="190" t="s">
        <v>99</v>
      </c>
      <c r="D26" s="190"/>
      <c r="E26" s="35">
        <v>25.98</v>
      </c>
      <c r="F26" s="4">
        <v>2336</v>
      </c>
      <c r="G26" s="4">
        <f t="shared" si="23"/>
        <v>60689.279999999999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2297.7049180327858</v>
      </c>
      <c r="N26" s="16">
        <f t="shared" si="3"/>
        <v>109.41451990632314</v>
      </c>
      <c r="O26" s="18">
        <f t="shared" si="4"/>
        <v>0</v>
      </c>
      <c r="P26" s="19">
        <f t="shared" si="5"/>
        <v>-4.8711943793911558</v>
      </c>
      <c r="Q26" s="20">
        <f t="shared" si="6"/>
        <v>0.9573770491803274</v>
      </c>
      <c r="R26" s="170"/>
      <c r="S26" s="27">
        <v>0.28402777777777777</v>
      </c>
      <c r="T26" s="27">
        <v>0.3263888888888889</v>
      </c>
      <c r="U26" s="4">
        <f t="shared" ref="U26:U29" si="26">(S26-T25)*24*60</f>
        <v>28.999999999999979</v>
      </c>
      <c r="V26" s="21">
        <f t="shared" si="25"/>
        <v>61.000000000000021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-102.29508196721417</v>
      </c>
      <c r="AF26" s="20">
        <f t="shared" si="9"/>
        <v>0.9573770491803274</v>
      </c>
      <c r="AG26" s="170"/>
    </row>
    <row r="27" spans="1:33" ht="15.75" customHeight="1">
      <c r="A27" s="191" t="s">
        <v>54</v>
      </c>
      <c r="B27" s="35" t="s">
        <v>97</v>
      </c>
      <c r="C27" s="190" t="s">
        <v>100</v>
      </c>
      <c r="D27" s="190"/>
      <c r="E27" s="35">
        <v>26.2</v>
      </c>
      <c r="F27" s="4">
        <v>4244</v>
      </c>
      <c r="G27" s="4">
        <f t="shared" si="23"/>
        <v>111192.8</v>
      </c>
      <c r="H27" s="21" t="s">
        <v>133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2294.0540540540542</v>
      </c>
      <c r="N27" s="16">
        <f t="shared" si="3"/>
        <v>114.70270270270271</v>
      </c>
      <c r="O27" s="18">
        <f t="shared" si="4"/>
        <v>0</v>
      </c>
      <c r="P27" s="19">
        <f t="shared" si="5"/>
        <v>-5.2972972972972912</v>
      </c>
      <c r="Q27" s="20">
        <f t="shared" si="6"/>
        <v>0.95585585585585586</v>
      </c>
      <c r="R27" s="170"/>
      <c r="S27" s="27">
        <v>0.33124999999999999</v>
      </c>
      <c r="T27" s="27">
        <v>0.40833333333333333</v>
      </c>
      <c r="U27" s="4">
        <f t="shared" si="26"/>
        <v>6.9999999999999751</v>
      </c>
      <c r="V27" s="21">
        <f t="shared" si="25"/>
        <v>111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-105.94594594594582</v>
      </c>
      <c r="AF27" s="20">
        <f t="shared" si="9"/>
        <v>0.95585585585585586</v>
      </c>
      <c r="AG27" s="170"/>
    </row>
    <row r="28" spans="1:33" ht="15.75" customHeight="1">
      <c r="A28" s="191" t="s">
        <v>54</v>
      </c>
      <c r="B28" s="35" t="s">
        <v>97</v>
      </c>
      <c r="C28" s="190" t="s">
        <v>101</v>
      </c>
      <c r="D28" s="190"/>
      <c r="E28" s="35">
        <v>25.99</v>
      </c>
      <c r="F28" s="4">
        <v>3346</v>
      </c>
      <c r="G28" s="4">
        <f t="shared" si="23"/>
        <v>86962.54</v>
      </c>
      <c r="H28" s="21" t="s">
        <v>133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2307.5862068965512</v>
      </c>
      <c r="N28" s="16">
        <f t="shared" si="3"/>
        <v>164.82758620689651</v>
      </c>
      <c r="O28" s="18">
        <f t="shared" si="4"/>
        <v>0</v>
      </c>
      <c r="P28" s="19">
        <f t="shared" si="5"/>
        <v>-6.6009852216749039</v>
      </c>
      <c r="Q28" s="20">
        <f t="shared" si="6"/>
        <v>0.96149425287356305</v>
      </c>
      <c r="R28" s="170"/>
      <c r="S28" s="27">
        <v>0.41388888888888886</v>
      </c>
      <c r="T28" s="27">
        <v>0.47430555555555554</v>
      </c>
      <c r="U28" s="4">
        <f t="shared" si="26"/>
        <v>7.9999999999999716</v>
      </c>
      <c r="V28" s="21">
        <f t="shared" si="25"/>
        <v>87.000000000000014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-92.413793103448825</v>
      </c>
      <c r="AF28" s="20">
        <f t="shared" si="9"/>
        <v>0.96149425287356294</v>
      </c>
      <c r="AG28" s="170"/>
    </row>
    <row r="29" spans="1:33" ht="15.75" customHeight="1">
      <c r="A29" s="191" t="s">
        <v>1327</v>
      </c>
      <c r="B29" s="35" t="s">
        <v>97</v>
      </c>
      <c r="C29" s="190" t="s">
        <v>102</v>
      </c>
      <c r="D29" s="190"/>
      <c r="E29" s="35">
        <v>26.18</v>
      </c>
      <c r="F29" s="4">
        <v>1305</v>
      </c>
      <c r="G29" s="4">
        <f t="shared" si="23"/>
        <v>34164.9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2302.9411764705851</v>
      </c>
      <c r="N29" s="16">
        <f t="shared" si="3"/>
        <v>121.20743034055711</v>
      </c>
      <c r="O29" s="18">
        <f t="shared" si="4"/>
        <v>0</v>
      </c>
      <c r="P29" s="19">
        <f t="shared" si="5"/>
        <v>-5.1083591331270952</v>
      </c>
      <c r="Q29" s="20">
        <f t="shared" si="6"/>
        <v>0.95955882352941047</v>
      </c>
      <c r="R29" s="170"/>
      <c r="S29" s="27">
        <v>0.47916666666666663</v>
      </c>
      <c r="T29" s="27">
        <v>0.50277777777777777</v>
      </c>
      <c r="U29" s="4">
        <f t="shared" si="26"/>
        <v>6.9999999999999751</v>
      </c>
      <c r="V29" s="21">
        <f t="shared" si="25"/>
        <v>34.000000000000043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-97.058823529414894</v>
      </c>
      <c r="AF29" s="20">
        <f t="shared" si="9"/>
        <v>0.95955882352941047</v>
      </c>
      <c r="AG29" s="170"/>
    </row>
    <row r="30" spans="1:33" ht="15.75" customHeight="1">
      <c r="A30" s="191" t="s">
        <v>54</v>
      </c>
      <c r="B30" s="35" t="s">
        <v>53</v>
      </c>
      <c r="C30" s="171"/>
      <c r="D30" s="171"/>
      <c r="E30" s="36"/>
      <c r="F30" s="4"/>
      <c r="G30" s="4"/>
      <c r="H30" s="4"/>
      <c r="I30" s="29">
        <v>18.399999999999999</v>
      </c>
      <c r="J30" s="17">
        <v>2400</v>
      </c>
      <c r="K30" s="16">
        <f t="shared" si="1"/>
        <v>130.43478260869566</v>
      </c>
      <c r="L30" s="29">
        <v>18.399999999999999</v>
      </c>
      <c r="M30" s="17">
        <f>AVERAGE(M25:M29)</f>
        <v>2298.9772710907955</v>
      </c>
      <c r="N30" s="16">
        <f t="shared" si="3"/>
        <v>124.94441690710846</v>
      </c>
      <c r="O30" s="18">
        <f t="shared" si="4"/>
        <v>0</v>
      </c>
      <c r="P30" s="19">
        <f t="shared" si="5"/>
        <v>-5.4903657015871943</v>
      </c>
      <c r="Q30" s="20">
        <f t="shared" si="6"/>
        <v>0.9579071962878315</v>
      </c>
      <c r="R30" s="170"/>
      <c r="S30" s="27"/>
      <c r="T30" s="27"/>
      <c r="U30" s="4"/>
      <c r="V30" s="21"/>
      <c r="W30" s="4"/>
      <c r="X30" s="4"/>
      <c r="Y30" s="30">
        <f>SUM(Y25:Y29)</f>
        <v>0</v>
      </c>
      <c r="Z30" s="30">
        <f>SUM(Z25:Z29)</f>
        <v>0</v>
      </c>
      <c r="AA30" s="166"/>
      <c r="AB30" s="166"/>
      <c r="AC30" s="30">
        <v>5</v>
      </c>
      <c r="AD30" s="30">
        <f>SUM(AD25:AD29)</f>
        <v>0</v>
      </c>
      <c r="AE30" s="18">
        <f t="shared" si="8"/>
        <v>-101.02272890920449</v>
      </c>
      <c r="AF30" s="20">
        <f t="shared" si="9"/>
        <v>0.9579071962878315</v>
      </c>
      <c r="AG30" s="170"/>
    </row>
    <row r="31" spans="1:33" ht="15.75" customHeight="1">
      <c r="A31" s="188" t="s">
        <v>59</v>
      </c>
      <c r="B31" s="35" t="s">
        <v>97</v>
      </c>
      <c r="C31" s="163" t="s">
        <v>103</v>
      </c>
      <c r="D31" s="163"/>
      <c r="E31" s="35">
        <v>26.2</v>
      </c>
      <c r="F31" s="4">
        <v>5598</v>
      </c>
      <c r="G31" s="4">
        <f t="shared" ref="G31:G36" si="27">E31*F31</f>
        <v>146667.6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ref="M31:M36" si="28">F31/V31*60</f>
        <v>2284.8979591836733</v>
      </c>
      <c r="N31" s="16">
        <f t="shared" si="3"/>
        <v>126.93877551020407</v>
      </c>
      <c r="O31" s="18">
        <f t="shared" si="4"/>
        <v>0</v>
      </c>
      <c r="P31" s="19">
        <f t="shared" si="5"/>
        <v>-6.3945578231292757</v>
      </c>
      <c r="Q31" s="20">
        <f t="shared" si="6"/>
        <v>0.95204081632653048</v>
      </c>
      <c r="R31" s="170">
        <f>Q37</f>
        <v>0.9569989220644598</v>
      </c>
      <c r="S31" s="27">
        <v>0.125</v>
      </c>
      <c r="T31" s="27">
        <v>0.22708333333333336</v>
      </c>
      <c r="U31" s="4"/>
      <c r="V31" s="21">
        <f t="shared" ref="V31:V36" si="29">(T31-S31)*24*60</f>
        <v>147.00000000000003</v>
      </c>
      <c r="W31" s="27">
        <f>T31</f>
        <v>0.22708333333333336</v>
      </c>
      <c r="X31" s="27">
        <f>S32</f>
        <v>0.24652777777777779</v>
      </c>
      <c r="Y31" s="27"/>
      <c r="Z31" s="27"/>
      <c r="AA31" s="162"/>
      <c r="AB31" s="162"/>
      <c r="AC31" s="24">
        <v>6</v>
      </c>
      <c r="AD31" s="24"/>
      <c r="AE31" s="18">
        <f t="shared" si="8"/>
        <v>-115.10204081632673</v>
      </c>
      <c r="AF31" s="20">
        <f t="shared" si="9"/>
        <v>0.95204081632653048</v>
      </c>
      <c r="AG31" s="170">
        <f>AF37</f>
        <v>0.95699892206445969</v>
      </c>
    </row>
    <row r="32" spans="1:33" ht="15.75" customHeight="1">
      <c r="A32" s="188" t="s">
        <v>59</v>
      </c>
      <c r="B32" s="35" t="s">
        <v>97</v>
      </c>
      <c r="C32" s="163" t="s">
        <v>104</v>
      </c>
      <c r="D32" s="163"/>
      <c r="E32" s="35">
        <v>20.52</v>
      </c>
      <c r="F32" s="4">
        <v>2940</v>
      </c>
      <c r="G32" s="4">
        <f t="shared" si="27"/>
        <v>60328.799999999996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8"/>
        <v>2290.9090909090896</v>
      </c>
      <c r="N32" s="16">
        <f t="shared" si="3"/>
        <v>127.2727272727272</v>
      </c>
      <c r="O32" s="18">
        <f t="shared" si="4"/>
        <v>0</v>
      </c>
      <c r="P32" s="19">
        <f t="shared" si="5"/>
        <v>-6.0606060606061476</v>
      </c>
      <c r="Q32" s="20">
        <f t="shared" si="6"/>
        <v>0.95454545454545392</v>
      </c>
      <c r="R32" s="170"/>
      <c r="S32" s="27">
        <v>0.24652777777777779</v>
      </c>
      <c r="T32" s="27">
        <v>0.30000000000000004</v>
      </c>
      <c r="U32" s="4">
        <f t="shared" ref="U32:U36" si="30">(S32-T31)*24*60</f>
        <v>27.999999999999979</v>
      </c>
      <c r="V32" s="21">
        <f t="shared" si="29"/>
        <v>77.000000000000043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-109.09090909091037</v>
      </c>
      <c r="AF32" s="20">
        <f t="shared" si="9"/>
        <v>0.95454545454545403</v>
      </c>
      <c r="AG32" s="170"/>
    </row>
    <row r="33" spans="1:33">
      <c r="A33" s="189" t="s">
        <v>59</v>
      </c>
      <c r="B33" s="35" t="s">
        <v>97</v>
      </c>
      <c r="C33" s="163" t="s">
        <v>105</v>
      </c>
      <c r="D33" s="163"/>
      <c r="E33" s="35">
        <v>26.39</v>
      </c>
      <c r="F33" s="4">
        <v>4741</v>
      </c>
      <c r="G33" s="4">
        <f t="shared" si="27"/>
        <v>125114.99</v>
      </c>
      <c r="H33" s="21" t="s">
        <v>133</v>
      </c>
      <c r="I33" s="15">
        <v>19</v>
      </c>
      <c r="J33" s="17">
        <v>2400</v>
      </c>
      <c r="K33" s="16">
        <f t="shared" si="1"/>
        <v>126.31578947368421</v>
      </c>
      <c r="L33" s="15">
        <v>19</v>
      </c>
      <c r="M33" s="17">
        <f t="shared" si="28"/>
        <v>2294.0322580645152</v>
      </c>
      <c r="N33" s="16">
        <f t="shared" si="3"/>
        <v>120.73853989813237</v>
      </c>
      <c r="O33" s="18">
        <f t="shared" si="4"/>
        <v>0</v>
      </c>
      <c r="P33" s="19">
        <f t="shared" si="5"/>
        <v>-5.5772495755518321</v>
      </c>
      <c r="Q33" s="20">
        <f t="shared" si="6"/>
        <v>0.95584677419354802</v>
      </c>
      <c r="R33" s="170"/>
      <c r="S33" s="27">
        <v>0.3041666666666667</v>
      </c>
      <c r="T33" s="27">
        <v>0.39027777777777783</v>
      </c>
      <c r="U33" s="4">
        <f t="shared" si="30"/>
        <v>5.9999999999999787</v>
      </c>
      <c r="V33" s="21">
        <f t="shared" si="29"/>
        <v>124.00000000000004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-105.96774193548481</v>
      </c>
      <c r="AF33" s="20">
        <f t="shared" si="9"/>
        <v>0.95584677419354802</v>
      </c>
      <c r="AG33" s="170"/>
    </row>
    <row r="34" spans="1:33">
      <c r="A34" s="189" t="s">
        <v>59</v>
      </c>
      <c r="B34" s="35" t="s">
        <v>97</v>
      </c>
      <c r="C34" s="163" t="s">
        <v>107</v>
      </c>
      <c r="D34" s="163"/>
      <c r="E34" s="35">
        <v>20.52</v>
      </c>
      <c r="F34" s="4">
        <v>2350</v>
      </c>
      <c r="G34" s="4">
        <f t="shared" si="27"/>
        <v>48222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2311.475409836065</v>
      </c>
      <c r="N34" s="16">
        <f t="shared" si="3"/>
        <v>128.41530054644807</v>
      </c>
      <c r="O34" s="18">
        <f t="shared" si="4"/>
        <v>0</v>
      </c>
      <c r="P34" s="19">
        <f t="shared" si="5"/>
        <v>-4.9180327868852771</v>
      </c>
      <c r="Q34" s="20">
        <f t="shared" si="6"/>
        <v>0.96311475409836045</v>
      </c>
      <c r="R34" s="170"/>
      <c r="S34" s="27">
        <v>0.39513888888888893</v>
      </c>
      <c r="T34" s="27">
        <v>0.43750000000000006</v>
      </c>
      <c r="U34" s="4">
        <f t="shared" si="30"/>
        <v>6.9999999999999751</v>
      </c>
      <c r="V34" s="21">
        <f t="shared" si="29"/>
        <v>61.000000000000021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-88.524590163935045</v>
      </c>
      <c r="AF34" s="20">
        <f t="shared" si="9"/>
        <v>0.96311475409836045</v>
      </c>
      <c r="AG34" s="170"/>
    </row>
    <row r="35" spans="1:33">
      <c r="A35" s="189" t="s">
        <v>59</v>
      </c>
      <c r="B35" s="35" t="s">
        <v>97</v>
      </c>
      <c r="C35" s="163" t="s">
        <v>304</v>
      </c>
      <c r="D35" s="163"/>
      <c r="E35" s="35">
        <v>22.69</v>
      </c>
      <c r="F35" s="4">
        <v>2600</v>
      </c>
      <c r="G35" s="4">
        <f t="shared" si="27"/>
        <v>58994</v>
      </c>
      <c r="H35" s="21">
        <v>2</v>
      </c>
      <c r="I35" s="15">
        <v>15</v>
      </c>
      <c r="J35" s="17">
        <v>2400</v>
      </c>
      <c r="K35" s="16">
        <f t="shared" si="1"/>
        <v>160</v>
      </c>
      <c r="L35" s="15">
        <v>15</v>
      </c>
      <c r="M35" s="17">
        <f t="shared" si="28"/>
        <v>2294.1176470588234</v>
      </c>
      <c r="N35" s="16">
        <f t="shared" si="3"/>
        <v>152.94117647058823</v>
      </c>
      <c r="O35" s="18">
        <f t="shared" si="4"/>
        <v>0</v>
      </c>
      <c r="P35" s="19">
        <f t="shared" si="5"/>
        <v>-7.058823529411768</v>
      </c>
      <c r="Q35" s="20">
        <f t="shared" si="6"/>
        <v>0.95588235294117641</v>
      </c>
      <c r="R35" s="170"/>
      <c r="S35" s="27">
        <v>0.44236111111111115</v>
      </c>
      <c r="T35" s="27">
        <v>0.48958333333333337</v>
      </c>
      <c r="U35" s="4">
        <f t="shared" si="30"/>
        <v>6.9999999999999751</v>
      </c>
      <c r="V35" s="21">
        <f t="shared" si="29"/>
        <v>68</v>
      </c>
      <c r="W35" s="22">
        <f>T35</f>
        <v>0.48958333333333337</v>
      </c>
      <c r="X35" s="22">
        <f>S36</f>
        <v>0.53125</v>
      </c>
      <c r="Y35" s="22"/>
      <c r="Z35" s="22"/>
      <c r="AA35" s="162"/>
      <c r="AB35" s="162"/>
      <c r="AC35" s="24"/>
      <c r="AD35" s="24"/>
      <c r="AE35" s="18">
        <f t="shared" si="8"/>
        <v>-105.88235294117658</v>
      </c>
      <c r="AF35" s="20">
        <f t="shared" si="9"/>
        <v>0.95588235294117641</v>
      </c>
      <c r="AG35" s="170"/>
    </row>
    <row r="36" spans="1:33">
      <c r="A36" s="189" t="s">
        <v>61</v>
      </c>
      <c r="B36" s="35" t="s">
        <v>97</v>
      </c>
      <c r="C36" s="163" t="s">
        <v>304</v>
      </c>
      <c r="D36" s="163"/>
      <c r="E36" s="35">
        <v>22.69</v>
      </c>
      <c r="F36" s="4">
        <v>2728</v>
      </c>
      <c r="G36" s="4">
        <f t="shared" si="27"/>
        <v>61898.320000000007</v>
      </c>
      <c r="H36" s="21" t="s">
        <v>133</v>
      </c>
      <c r="I36" s="15">
        <v>15</v>
      </c>
      <c r="J36" s="17">
        <v>2400</v>
      </c>
      <c r="K36" s="16">
        <f t="shared" si="1"/>
        <v>160</v>
      </c>
      <c r="L36" s="15">
        <v>15</v>
      </c>
      <c r="M36" s="17">
        <f t="shared" si="28"/>
        <v>2305.3521126760538</v>
      </c>
      <c r="N36" s="16">
        <f t="shared" si="3"/>
        <v>153.69014084507026</v>
      </c>
      <c r="O36" s="18">
        <f t="shared" si="4"/>
        <v>0</v>
      </c>
      <c r="P36" s="19">
        <f t="shared" si="5"/>
        <v>-6.3098591549297396</v>
      </c>
      <c r="Q36" s="20">
        <f t="shared" si="6"/>
        <v>0.96056338028168908</v>
      </c>
      <c r="R36" s="170"/>
      <c r="S36" s="27">
        <v>0.53125</v>
      </c>
      <c r="T36" s="27">
        <v>0.5805555555555556</v>
      </c>
      <c r="U36" s="4">
        <f t="shared" si="30"/>
        <v>59.999999999999943</v>
      </c>
      <c r="V36" s="21">
        <f t="shared" si="29"/>
        <v>71.000000000000071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-94.647887323946179</v>
      </c>
      <c r="AF36" s="20">
        <f t="shared" si="9"/>
        <v>0.96056338028168908</v>
      </c>
      <c r="AG36" s="170"/>
    </row>
    <row r="37" spans="1:33">
      <c r="A37" s="189" t="s">
        <v>59</v>
      </c>
      <c r="B37" s="16" t="s">
        <v>48</v>
      </c>
      <c r="C37" s="171"/>
      <c r="D37" s="171"/>
      <c r="E37" s="36"/>
      <c r="F37" s="16"/>
      <c r="G37" s="16"/>
      <c r="H37" s="4"/>
      <c r="I37" s="29">
        <v>17.166666666666668</v>
      </c>
      <c r="J37" s="17">
        <v>2400</v>
      </c>
      <c r="K37" s="16">
        <f t="shared" si="1"/>
        <v>139.80582524271844</v>
      </c>
      <c r="L37" s="29">
        <v>17.166666666666668</v>
      </c>
      <c r="M37" s="17">
        <f>AVERAGE(M31:M36)</f>
        <v>2296.7974129547033</v>
      </c>
      <c r="N37" s="16">
        <f t="shared" si="3"/>
        <v>133.79402405561379</v>
      </c>
      <c r="O37" s="18">
        <f t="shared" si="4"/>
        <v>0</v>
      </c>
      <c r="P37" s="19">
        <f t="shared" si="5"/>
        <v>-6.0118011871046519</v>
      </c>
      <c r="Q37" s="20">
        <f t="shared" si="6"/>
        <v>0.9569989220644598</v>
      </c>
      <c r="R37" s="170"/>
      <c r="S37" s="27"/>
      <c r="T37" s="27"/>
      <c r="U37" s="16"/>
      <c r="V37" s="21"/>
      <c r="W37" s="16"/>
      <c r="X37" s="16"/>
      <c r="Y37" s="30">
        <f>SUM(Y31:Y36)</f>
        <v>0</v>
      </c>
      <c r="Z37" s="30">
        <f>SUM(Z31:Z36)</f>
        <v>0</v>
      </c>
      <c r="AA37" s="166"/>
      <c r="AB37" s="166"/>
      <c r="AC37" s="30">
        <v>6</v>
      </c>
      <c r="AD37" s="30">
        <f>SUM(AD31:AD36)</f>
        <v>0</v>
      </c>
      <c r="AE37" s="18">
        <f t="shared" si="8"/>
        <v>-103.2025870452967</v>
      </c>
      <c r="AF37" s="20">
        <f t="shared" si="9"/>
        <v>0.95699892206445969</v>
      </c>
      <c r="AG37" s="170"/>
    </row>
    <row r="38" spans="1:33" ht="15.75" customHeight="1">
      <c r="A38" s="182" t="s">
        <v>67</v>
      </c>
      <c r="B38" s="35" t="s">
        <v>108</v>
      </c>
      <c r="C38" s="174" t="s">
        <v>109</v>
      </c>
      <c r="D38" s="175"/>
      <c r="E38" s="35">
        <v>34.36</v>
      </c>
      <c r="F38" s="4">
        <v>2011</v>
      </c>
      <c r="G38" s="4">
        <f t="shared" ref="G38:G45" si="31">E38*F38</f>
        <v>69097.959999999992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ref="M38:M45" si="32">F38/V38*60</f>
        <v>2872.8571428571418</v>
      </c>
      <c r="N38" s="17">
        <f t="shared" si="3"/>
        <v>287.28571428571416</v>
      </c>
      <c r="O38" s="18">
        <f t="shared" si="4"/>
        <v>0</v>
      </c>
      <c r="P38" s="19">
        <f t="shared" si="5"/>
        <v>-12.714285714285836</v>
      </c>
      <c r="Q38" s="20">
        <f t="shared" si="6"/>
        <v>0.95761904761904726</v>
      </c>
      <c r="R38" s="185">
        <f>Q46</f>
        <v>0.95680137952672584</v>
      </c>
      <c r="S38" s="27">
        <v>0.20833333333333334</v>
      </c>
      <c r="T38" s="27">
        <v>0.23750000000000002</v>
      </c>
      <c r="U38" s="27"/>
      <c r="V38" s="21">
        <f t="shared" ref="V38:V45" si="33">(T38-S38)*24*60</f>
        <v>42.000000000000014</v>
      </c>
      <c r="W38" s="22"/>
      <c r="X38" s="22"/>
      <c r="Y38" s="25"/>
      <c r="Z38" s="25"/>
      <c r="AA38" s="176"/>
      <c r="AB38" s="177"/>
      <c r="AC38" s="24">
        <v>8</v>
      </c>
      <c r="AD38" s="24"/>
      <c r="AE38" s="18">
        <f t="shared" si="8"/>
        <v>-127.14285714285825</v>
      </c>
      <c r="AF38" s="20">
        <f t="shared" si="9"/>
        <v>0.95761904761904726</v>
      </c>
      <c r="AG38" s="185">
        <f>AF46</f>
        <v>0.95680137952672584</v>
      </c>
    </row>
    <row r="39" spans="1:33" ht="15.75" customHeight="1">
      <c r="A39" s="183" t="s">
        <v>67</v>
      </c>
      <c r="B39" s="35" t="s">
        <v>108</v>
      </c>
      <c r="C39" s="174" t="s">
        <v>110</v>
      </c>
      <c r="D39" s="175"/>
      <c r="E39" s="35">
        <v>26.78</v>
      </c>
      <c r="F39" s="4">
        <v>2573</v>
      </c>
      <c r="G39" s="4">
        <f t="shared" si="31"/>
        <v>68904.94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2858.8888888888905</v>
      </c>
      <c r="N39" s="17">
        <f t="shared" si="3"/>
        <v>285.88888888888903</v>
      </c>
      <c r="O39" s="18">
        <f t="shared" si="4"/>
        <v>0</v>
      </c>
      <c r="P39" s="19">
        <f t="shared" si="5"/>
        <v>-14.111111111110972</v>
      </c>
      <c r="Q39" s="20">
        <f t="shared" si="6"/>
        <v>0.95296296296296346</v>
      </c>
      <c r="R39" s="186"/>
      <c r="S39" s="27">
        <v>0.24305555555555558</v>
      </c>
      <c r="T39" s="27">
        <v>0.28055555555555556</v>
      </c>
      <c r="U39" s="4">
        <f t="shared" ref="U39:U45" si="34">(S39-T38)*24*60</f>
        <v>8.0000000000000107</v>
      </c>
      <c r="V39" s="21">
        <f t="shared" si="33"/>
        <v>53.999999999999972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-141.11111111110949</v>
      </c>
      <c r="AF39" s="20">
        <f t="shared" si="9"/>
        <v>0.95296296296296346</v>
      </c>
      <c r="AG39" s="186"/>
    </row>
    <row r="40" spans="1:33" ht="15.75" customHeight="1">
      <c r="A40" s="183" t="s">
        <v>67</v>
      </c>
      <c r="B40" s="35" t="s">
        <v>108</v>
      </c>
      <c r="C40" s="174" t="s">
        <v>111</v>
      </c>
      <c r="D40" s="175"/>
      <c r="E40" s="35">
        <v>21.13</v>
      </c>
      <c r="F40" s="4">
        <v>2800</v>
      </c>
      <c r="G40" s="4">
        <f t="shared" si="31"/>
        <v>59164</v>
      </c>
      <c r="H40" s="21">
        <v>2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2896.5517241379293</v>
      </c>
      <c r="N40" s="17">
        <f t="shared" si="3"/>
        <v>289.65517241379291</v>
      </c>
      <c r="O40" s="18">
        <f t="shared" si="4"/>
        <v>0</v>
      </c>
      <c r="P40" s="19">
        <f t="shared" si="5"/>
        <v>-10.344827586207089</v>
      </c>
      <c r="Q40" s="20">
        <f t="shared" si="6"/>
        <v>0.96551724137930972</v>
      </c>
      <c r="R40" s="186"/>
      <c r="S40" s="27">
        <v>0.28541666666666665</v>
      </c>
      <c r="T40" s="27">
        <v>0.32569444444444445</v>
      </c>
      <c r="U40" s="4">
        <f t="shared" si="34"/>
        <v>6.9999999999999751</v>
      </c>
      <c r="V40" s="21">
        <f t="shared" si="33"/>
        <v>58.000000000000036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-103.44827586207066</v>
      </c>
      <c r="AF40" s="20">
        <f t="shared" si="9"/>
        <v>0.96551724137930983</v>
      </c>
      <c r="AG40" s="186"/>
    </row>
    <row r="41" spans="1:33" ht="15.75" customHeight="1">
      <c r="A41" s="183" t="s">
        <v>67</v>
      </c>
      <c r="B41" s="35" t="s">
        <v>108</v>
      </c>
      <c r="C41" s="174" t="s">
        <v>112</v>
      </c>
      <c r="D41" s="175"/>
      <c r="E41" s="35">
        <v>27.17</v>
      </c>
      <c r="F41" s="4">
        <v>4000</v>
      </c>
      <c r="G41" s="4">
        <f t="shared" si="31"/>
        <v>108680</v>
      </c>
      <c r="H41" s="21">
        <v>2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2857.1428571428564</v>
      </c>
      <c r="N41" s="17">
        <f t="shared" si="3"/>
        <v>285.71428571428567</v>
      </c>
      <c r="O41" s="18">
        <f t="shared" si="4"/>
        <v>0</v>
      </c>
      <c r="P41" s="19">
        <f t="shared" si="5"/>
        <v>-14.285714285714334</v>
      </c>
      <c r="Q41" s="20">
        <f t="shared" si="6"/>
        <v>0.95238095238095222</v>
      </c>
      <c r="R41" s="186"/>
      <c r="S41" s="27">
        <v>0.33124999999999999</v>
      </c>
      <c r="T41" s="27">
        <v>0.38958333333333334</v>
      </c>
      <c r="U41" s="4">
        <f t="shared" si="34"/>
        <v>7.9999999999999716</v>
      </c>
      <c r="V41" s="21">
        <f t="shared" si="33"/>
        <v>84.000000000000028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-142.85714285714357</v>
      </c>
      <c r="AF41" s="20">
        <f t="shared" si="9"/>
        <v>0.95238095238095211</v>
      </c>
      <c r="AG41" s="186"/>
    </row>
    <row r="42" spans="1:33" ht="15.75" customHeight="1">
      <c r="A42" s="183" t="s">
        <v>67</v>
      </c>
      <c r="B42" s="35" t="s">
        <v>108</v>
      </c>
      <c r="C42" s="174" t="s">
        <v>305</v>
      </c>
      <c r="D42" s="175"/>
      <c r="E42" s="35">
        <v>28.3</v>
      </c>
      <c r="F42" s="4">
        <v>4680</v>
      </c>
      <c r="G42" s="4">
        <f t="shared" si="31"/>
        <v>132444</v>
      </c>
      <c r="H42" s="21" t="s">
        <v>133</v>
      </c>
      <c r="I42" s="15">
        <v>8</v>
      </c>
      <c r="J42" s="17">
        <v>3000</v>
      </c>
      <c r="K42" s="16">
        <f t="shared" si="1"/>
        <v>375</v>
      </c>
      <c r="L42" s="15">
        <v>8</v>
      </c>
      <c r="M42" s="17">
        <f t="shared" si="32"/>
        <v>2865.3061224489802</v>
      </c>
      <c r="N42" s="17">
        <f t="shared" si="3"/>
        <v>358.16326530612253</v>
      </c>
      <c r="O42" s="18">
        <f t="shared" si="4"/>
        <v>0</v>
      </c>
      <c r="P42" s="19">
        <f t="shared" si="5"/>
        <v>-16.836734693877474</v>
      </c>
      <c r="Q42" s="20">
        <f t="shared" si="6"/>
        <v>0.95510204081632677</v>
      </c>
      <c r="R42" s="186"/>
      <c r="S42" s="27">
        <v>0.39444444444444443</v>
      </c>
      <c r="T42" s="27">
        <v>0.46249999999999997</v>
      </c>
      <c r="U42" s="4">
        <f t="shared" si="34"/>
        <v>6.9999999999999751</v>
      </c>
      <c r="V42" s="21">
        <f t="shared" si="33"/>
        <v>97.999999999999972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-134.6938775510198</v>
      </c>
      <c r="AF42" s="20">
        <f t="shared" si="9"/>
        <v>0.95510204081632677</v>
      </c>
      <c r="AG42" s="186"/>
    </row>
    <row r="43" spans="1:33" ht="15.75" customHeight="1">
      <c r="A43" s="183" t="s">
        <v>67</v>
      </c>
      <c r="B43" s="35" t="s">
        <v>108</v>
      </c>
      <c r="C43" s="174" t="s">
        <v>113</v>
      </c>
      <c r="D43" s="175"/>
      <c r="E43" s="35">
        <v>35.869999999999997</v>
      </c>
      <c r="F43" s="4">
        <v>3882</v>
      </c>
      <c r="G43" s="4">
        <f t="shared" si="31"/>
        <v>139247.34</v>
      </c>
      <c r="H43" s="21" t="s">
        <v>133</v>
      </c>
      <c r="I43" s="15">
        <v>9</v>
      </c>
      <c r="J43" s="17">
        <v>3000</v>
      </c>
      <c r="K43" s="16">
        <f t="shared" si="1"/>
        <v>333.33333333333331</v>
      </c>
      <c r="L43" s="15">
        <v>9</v>
      </c>
      <c r="M43" s="17">
        <f t="shared" si="32"/>
        <v>2875.555555555557</v>
      </c>
      <c r="N43" s="17">
        <f t="shared" si="3"/>
        <v>319.50617283950635</v>
      </c>
      <c r="O43" s="18">
        <f t="shared" si="4"/>
        <v>0</v>
      </c>
      <c r="P43" s="19">
        <f t="shared" si="5"/>
        <v>-13.827160493826966</v>
      </c>
      <c r="Q43" s="20">
        <f t="shared" si="6"/>
        <v>0.9585185185185191</v>
      </c>
      <c r="R43" s="186"/>
      <c r="S43" s="27">
        <v>0.46597222222222218</v>
      </c>
      <c r="T43" s="27">
        <v>0.52222222222222214</v>
      </c>
      <c r="U43" s="4">
        <f t="shared" si="34"/>
        <v>4.9999999999999822</v>
      </c>
      <c r="V43" s="21">
        <f t="shared" si="33"/>
        <v>80.999999999999957</v>
      </c>
      <c r="W43" s="22">
        <f>T43</f>
        <v>0.52222222222222214</v>
      </c>
      <c r="X43" s="22">
        <f>S44</f>
        <v>0.56388888888888877</v>
      </c>
      <c r="Y43" s="25"/>
      <c r="Z43" s="25"/>
      <c r="AA43" s="176"/>
      <c r="AB43" s="177"/>
      <c r="AC43" s="24"/>
      <c r="AD43" s="24"/>
      <c r="AE43" s="18">
        <f t="shared" si="8"/>
        <v>-124.44444444444298</v>
      </c>
      <c r="AF43" s="20">
        <f t="shared" si="9"/>
        <v>0.95851851851851899</v>
      </c>
      <c r="AG43" s="186"/>
    </row>
    <row r="44" spans="1:33" ht="15.75" customHeight="1">
      <c r="A44" s="183" t="s">
        <v>67</v>
      </c>
      <c r="B44" s="35" t="s">
        <v>108</v>
      </c>
      <c r="C44" s="174" t="s">
        <v>111</v>
      </c>
      <c r="D44" s="175"/>
      <c r="E44" s="35">
        <v>21.13</v>
      </c>
      <c r="F44" s="4">
        <v>2141</v>
      </c>
      <c r="G44" s="4">
        <f t="shared" si="31"/>
        <v>45239.329999999994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si="32"/>
        <v>2854.6666666666665</v>
      </c>
      <c r="N44" s="17">
        <f t="shared" si="3"/>
        <v>285.46666666666664</v>
      </c>
      <c r="O44" s="18">
        <f t="shared" si="4"/>
        <v>0</v>
      </c>
      <c r="P44" s="19">
        <f t="shared" si="5"/>
        <v>-14.53333333333336</v>
      </c>
      <c r="Q44" s="20">
        <f t="shared" si="6"/>
        <v>0.95155555555555549</v>
      </c>
      <c r="R44" s="186"/>
      <c r="S44" s="27">
        <v>0.56388888888888877</v>
      </c>
      <c r="T44" s="27">
        <v>0.59513888888888877</v>
      </c>
      <c r="U44" s="4">
        <f t="shared" si="34"/>
        <v>59.999999999999943</v>
      </c>
      <c r="V44" s="21">
        <f t="shared" si="33"/>
        <v>45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-145.33333333333348</v>
      </c>
      <c r="AF44" s="20">
        <f t="shared" si="9"/>
        <v>0.95155555555555549</v>
      </c>
      <c r="AG44" s="186"/>
    </row>
    <row r="45" spans="1:33" ht="15.75" customHeight="1">
      <c r="A45" s="183" t="s">
        <v>67</v>
      </c>
      <c r="B45" s="35" t="s">
        <v>108</v>
      </c>
      <c r="C45" s="174" t="s">
        <v>112</v>
      </c>
      <c r="D45" s="175"/>
      <c r="E45" s="35">
        <v>27.17</v>
      </c>
      <c r="F45" s="4">
        <v>2546</v>
      </c>
      <c r="G45" s="4">
        <f t="shared" si="31"/>
        <v>69174.820000000007</v>
      </c>
      <c r="H45" s="21" t="s">
        <v>133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si="32"/>
        <v>2882.2641509433979</v>
      </c>
      <c r="N45" s="17">
        <f t="shared" si="3"/>
        <v>288.22641509433981</v>
      </c>
      <c r="O45" s="18">
        <f t="shared" si="4"/>
        <v>0</v>
      </c>
      <c r="P45" s="19">
        <f t="shared" si="5"/>
        <v>-11.773584905660186</v>
      </c>
      <c r="Q45" s="20">
        <f t="shared" si="6"/>
        <v>0.96075471698113268</v>
      </c>
      <c r="R45" s="186"/>
      <c r="S45" s="27">
        <v>0.59861111111111098</v>
      </c>
      <c r="T45" s="27">
        <v>0.63541666666666652</v>
      </c>
      <c r="U45" s="4">
        <f t="shared" si="34"/>
        <v>4.9999999999999822</v>
      </c>
      <c r="V45" s="21">
        <f t="shared" si="33"/>
        <v>52.999999999999972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-117.73584905660209</v>
      </c>
      <c r="AF45" s="20">
        <f t="shared" si="9"/>
        <v>0.96075471698113268</v>
      </c>
      <c r="AG45" s="186"/>
    </row>
    <row r="46" spans="1:33" ht="15.75" customHeight="1">
      <c r="A46" s="184" t="s">
        <v>67</v>
      </c>
      <c r="B46" s="35" t="s">
        <v>48</v>
      </c>
      <c r="C46" s="164"/>
      <c r="D46" s="165"/>
      <c r="E46" s="37"/>
      <c r="F46" s="4"/>
      <c r="G46" s="4"/>
      <c r="H46" s="4"/>
      <c r="I46" s="29">
        <v>9.625</v>
      </c>
      <c r="J46" s="17">
        <v>3000</v>
      </c>
      <c r="K46" s="16">
        <f t="shared" si="1"/>
        <v>311.68831168831167</v>
      </c>
      <c r="L46" s="29">
        <v>9.625</v>
      </c>
      <c r="M46" s="17">
        <f>AVERAGE(M38:M45)</f>
        <v>2870.4041385801775</v>
      </c>
      <c r="N46" s="16">
        <f t="shared" si="3"/>
        <v>298.2238066057327</v>
      </c>
      <c r="O46" s="18">
        <f t="shared" si="4"/>
        <v>0</v>
      </c>
      <c r="P46" s="19">
        <f t="shared" si="5"/>
        <v>-13.464505082578967</v>
      </c>
      <c r="Q46" s="20">
        <f t="shared" si="6"/>
        <v>0.95680137952672584</v>
      </c>
      <c r="R46" s="187"/>
      <c r="S46" s="27"/>
      <c r="T46" s="27"/>
      <c r="U46" s="4"/>
      <c r="V46" s="21"/>
      <c r="W46" s="22"/>
      <c r="X46" s="22"/>
      <c r="Y46" s="30">
        <f>SUM(Y38:Y45)</f>
        <v>0</v>
      </c>
      <c r="Z46" s="30">
        <f>SUM(Z38:Z45)</f>
        <v>0</v>
      </c>
      <c r="AA46" s="180"/>
      <c r="AB46" s="181"/>
      <c r="AC46" s="30">
        <v>8</v>
      </c>
      <c r="AD46" s="30">
        <f>SUM(AD38:AD45)</f>
        <v>0</v>
      </c>
      <c r="AE46" s="18">
        <f t="shared" si="8"/>
        <v>-129.59586141982254</v>
      </c>
      <c r="AF46" s="20">
        <f t="shared" si="9"/>
        <v>0.95680137952672584</v>
      </c>
      <c r="AG46" s="187"/>
    </row>
    <row r="47" spans="1:33" ht="15.75" customHeight="1">
      <c r="A47" s="178" t="s">
        <v>73</v>
      </c>
      <c r="B47" s="35" t="s">
        <v>84</v>
      </c>
      <c r="C47" s="163" t="s">
        <v>114</v>
      </c>
      <c r="D47" s="163"/>
      <c r="E47" s="35">
        <v>46</v>
      </c>
      <c r="F47" s="38">
        <v>1864</v>
      </c>
      <c r="G47" s="4">
        <f t="shared" ref="G47:G54" si="35">E47*F47</f>
        <v>85744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:M54" si="36">F47/V47*60</f>
        <v>1928.2758620689656</v>
      </c>
      <c r="N47" s="17">
        <f t="shared" si="3"/>
        <v>113.42799188640974</v>
      </c>
      <c r="O47" s="18">
        <f t="shared" si="4"/>
        <v>0</v>
      </c>
      <c r="P47" s="19">
        <f t="shared" si="5"/>
        <v>-4.2190669371196634</v>
      </c>
      <c r="Q47" s="20">
        <f t="shared" si="6"/>
        <v>0.96413793103448286</v>
      </c>
      <c r="R47" s="170">
        <f>Q55</f>
        <v>0.94135746545025667</v>
      </c>
      <c r="S47" s="27">
        <v>0.20833333333333334</v>
      </c>
      <c r="T47" s="27">
        <v>0.24861111111111112</v>
      </c>
      <c r="U47" s="27"/>
      <c r="V47" s="21">
        <f t="shared" ref="V47:V54" si="37">(T47-S47)*24*60</f>
        <v>57.999999999999993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-71.72413793103442</v>
      </c>
      <c r="AF47" s="20">
        <f t="shared" si="9"/>
        <v>0.96413793103448275</v>
      </c>
      <c r="AG47" s="170">
        <f>AF55</f>
        <v>0.94135746545025667</v>
      </c>
    </row>
    <row r="48" spans="1:33" ht="15.75" customHeight="1">
      <c r="A48" s="178" t="s">
        <v>73</v>
      </c>
      <c r="B48" s="35" t="s">
        <v>78</v>
      </c>
      <c r="C48" s="163" t="s">
        <v>115</v>
      </c>
      <c r="D48" s="163"/>
      <c r="E48" s="35">
        <v>56.43</v>
      </c>
      <c r="F48" s="38">
        <v>1658</v>
      </c>
      <c r="G48" s="4">
        <f t="shared" si="35"/>
        <v>93560.94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 t="shared" si="36"/>
        <v>1808.7272727272739</v>
      </c>
      <c r="N48" s="17">
        <f t="shared" si="3"/>
        <v>82.214876033057905</v>
      </c>
      <c r="O48" s="18">
        <f t="shared" si="4"/>
        <v>0</v>
      </c>
      <c r="P48" s="19">
        <f t="shared" si="5"/>
        <v>-8.6942148760330014</v>
      </c>
      <c r="Q48" s="20">
        <f t="shared" si="6"/>
        <v>0.90436363636363704</v>
      </c>
      <c r="R48" s="170"/>
      <c r="S48" s="27">
        <v>0.25277777777777777</v>
      </c>
      <c r="T48" s="27">
        <v>0.29097222222222219</v>
      </c>
      <c r="U48" s="4">
        <f t="shared" ref="U48:U54" si="38">IF(S48=TIME(17,0,0),"",(S48-T47)*24*60)</f>
        <v>5.9999999999999787</v>
      </c>
      <c r="V48" s="21">
        <f t="shared" si="37"/>
        <v>54.999999999999964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-191.27272727272612</v>
      </c>
      <c r="AF48" s="20">
        <f t="shared" si="9"/>
        <v>0.90436363636363692</v>
      </c>
      <c r="AG48" s="170"/>
    </row>
    <row r="49" spans="1:33" ht="15.75" customHeight="1">
      <c r="A49" s="178" t="s">
        <v>73</v>
      </c>
      <c r="B49" s="35" t="s">
        <v>78</v>
      </c>
      <c r="C49" s="174" t="s">
        <v>116</v>
      </c>
      <c r="D49" s="175"/>
      <c r="E49" s="35">
        <v>51.75</v>
      </c>
      <c r="F49" s="38">
        <v>1287</v>
      </c>
      <c r="G49" s="4">
        <f t="shared" si="35"/>
        <v>66602.25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si="36"/>
        <v>1838.571428571428</v>
      </c>
      <c r="N49" s="17">
        <f t="shared" si="3"/>
        <v>73.542857142857116</v>
      </c>
      <c r="O49" s="18">
        <f t="shared" si="4"/>
        <v>0</v>
      </c>
      <c r="P49" s="19">
        <f t="shared" si="5"/>
        <v>-6.4571428571428839</v>
      </c>
      <c r="Q49" s="20">
        <f t="shared" si="6"/>
        <v>0.91928571428571393</v>
      </c>
      <c r="R49" s="170"/>
      <c r="S49" s="27">
        <v>0.29583333333333328</v>
      </c>
      <c r="T49" s="27">
        <v>0.32499999999999996</v>
      </c>
      <c r="U49" s="4">
        <f t="shared" si="38"/>
        <v>6.9999999999999751</v>
      </c>
      <c r="V49" s="21">
        <f t="shared" si="37"/>
        <v>42.000000000000014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-161.42857142857201</v>
      </c>
      <c r="AF49" s="20">
        <f t="shared" si="9"/>
        <v>0.91928571428571404</v>
      </c>
      <c r="AG49" s="170"/>
    </row>
    <row r="50" spans="1:33" ht="15.75" customHeight="1">
      <c r="A50" s="178" t="s">
        <v>73</v>
      </c>
      <c r="B50" s="35" t="s">
        <v>78</v>
      </c>
      <c r="C50" s="39" t="s">
        <v>117</v>
      </c>
      <c r="D50" s="40"/>
      <c r="E50" s="35">
        <v>54.09</v>
      </c>
      <c r="F50" s="38">
        <v>1335</v>
      </c>
      <c r="G50" s="4">
        <f t="shared" si="35"/>
        <v>72210.150000000009</v>
      </c>
      <c r="H50" s="21" t="s">
        <v>133</v>
      </c>
      <c r="I50" s="15">
        <v>19</v>
      </c>
      <c r="J50" s="17">
        <v>2000</v>
      </c>
      <c r="K50" s="16">
        <f t="shared" si="1"/>
        <v>105.26315789473684</v>
      </c>
      <c r="L50" s="15">
        <v>19</v>
      </c>
      <c r="M50" s="17">
        <f t="shared" si="36"/>
        <v>1820.4545454545455</v>
      </c>
      <c r="N50" s="17">
        <f t="shared" si="3"/>
        <v>95.813397129186612</v>
      </c>
      <c r="O50" s="18">
        <f t="shared" si="4"/>
        <v>0</v>
      </c>
      <c r="P50" s="19">
        <f t="shared" si="5"/>
        <v>-9.4497607655502236</v>
      </c>
      <c r="Q50" s="20">
        <f t="shared" si="6"/>
        <v>0.91022727272727288</v>
      </c>
      <c r="R50" s="170"/>
      <c r="S50" s="27">
        <v>0.32986111111111105</v>
      </c>
      <c r="T50" s="27">
        <v>0.36041666666666661</v>
      </c>
      <c r="U50" s="4">
        <f t="shared" si="38"/>
        <v>6.9999999999999751</v>
      </c>
      <c r="V50" s="21">
        <f t="shared" si="37"/>
        <v>44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-179.5454545454545</v>
      </c>
      <c r="AF50" s="20">
        <f t="shared" si="9"/>
        <v>0.91022727272727277</v>
      </c>
      <c r="AG50" s="170"/>
    </row>
    <row r="51" spans="1:33" ht="15.75" customHeight="1">
      <c r="A51" s="178" t="s">
        <v>73</v>
      </c>
      <c r="B51" s="35" t="s">
        <v>78</v>
      </c>
      <c r="C51" s="39" t="s">
        <v>118</v>
      </c>
      <c r="D51" s="40"/>
      <c r="E51" s="35">
        <v>57.73</v>
      </c>
      <c r="F51" s="38">
        <v>1013</v>
      </c>
      <c r="G51" s="4">
        <f t="shared" si="35"/>
        <v>58480.49</v>
      </c>
      <c r="H51" s="21" t="s">
        <v>133</v>
      </c>
      <c r="I51" s="15">
        <v>16</v>
      </c>
      <c r="J51" s="17">
        <v>1500</v>
      </c>
      <c r="K51" s="16">
        <f t="shared" si="1"/>
        <v>93.75</v>
      </c>
      <c r="L51" s="15">
        <v>16</v>
      </c>
      <c r="M51" s="17">
        <f t="shared" si="36"/>
        <v>1447.1428571428567</v>
      </c>
      <c r="N51" s="17">
        <f t="shared" si="3"/>
        <v>90.446428571428541</v>
      </c>
      <c r="O51" s="18">
        <f t="shared" si="4"/>
        <v>0</v>
      </c>
      <c r="P51" s="19">
        <f t="shared" si="5"/>
        <v>-3.303571428571459</v>
      </c>
      <c r="Q51" s="20">
        <f t="shared" si="6"/>
        <v>0.96476190476190449</v>
      </c>
      <c r="R51" s="170"/>
      <c r="S51" s="27">
        <v>0.70833333333333337</v>
      </c>
      <c r="T51" s="27">
        <v>0.73750000000000004</v>
      </c>
      <c r="U51" s="4" t="str">
        <f t="shared" si="38"/>
        <v/>
      </c>
      <c r="V51" s="21">
        <f t="shared" si="37"/>
        <v>42.000000000000014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-52.857142857143344</v>
      </c>
      <c r="AF51" s="20">
        <f t="shared" si="9"/>
        <v>0.96476190476190449</v>
      </c>
      <c r="AG51" s="170"/>
    </row>
    <row r="52" spans="1:33" ht="15.75" customHeight="1">
      <c r="A52" s="178" t="s">
        <v>73</v>
      </c>
      <c r="B52" s="35" t="s">
        <v>78</v>
      </c>
      <c r="C52" s="174" t="s">
        <v>119</v>
      </c>
      <c r="D52" s="175"/>
      <c r="E52" s="35">
        <v>54.29</v>
      </c>
      <c r="F52" s="38">
        <v>1175</v>
      </c>
      <c r="G52" s="4">
        <f t="shared" si="35"/>
        <v>63790.75</v>
      </c>
      <c r="H52" s="21" t="s">
        <v>133</v>
      </c>
      <c r="I52" s="15">
        <v>20</v>
      </c>
      <c r="J52" s="17">
        <v>2000</v>
      </c>
      <c r="K52" s="16">
        <f t="shared" si="1"/>
        <v>100</v>
      </c>
      <c r="L52" s="15">
        <v>20</v>
      </c>
      <c r="M52" s="17">
        <f t="shared" si="36"/>
        <v>1905.4054054054041</v>
      </c>
      <c r="N52" s="17">
        <f t="shared" si="3"/>
        <v>95.270270270270203</v>
      </c>
      <c r="O52" s="18">
        <f t="shared" si="4"/>
        <v>0</v>
      </c>
      <c r="P52" s="19">
        <f t="shared" si="5"/>
        <v>-4.7297297297297973</v>
      </c>
      <c r="Q52" s="20">
        <f t="shared" si="6"/>
        <v>0.95270270270270208</v>
      </c>
      <c r="R52" s="170"/>
      <c r="S52" s="27">
        <v>0.74097222222222225</v>
      </c>
      <c r="T52" s="27">
        <v>0.76666666666666672</v>
      </c>
      <c r="U52" s="4">
        <f t="shared" si="38"/>
        <v>4.9999999999999822</v>
      </c>
      <c r="V52" s="21">
        <f t="shared" si="37"/>
        <v>37.000000000000028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-94.594594594595947</v>
      </c>
      <c r="AF52" s="20">
        <f t="shared" si="9"/>
        <v>0.95270270270270208</v>
      </c>
      <c r="AG52" s="170"/>
    </row>
    <row r="53" spans="1:33" ht="15.75" customHeight="1">
      <c r="A53" s="178" t="s">
        <v>73</v>
      </c>
      <c r="B53" s="35" t="s">
        <v>78</v>
      </c>
      <c r="C53" s="174" t="s">
        <v>120</v>
      </c>
      <c r="D53" s="175"/>
      <c r="E53" s="35">
        <v>55.56</v>
      </c>
      <c r="F53" s="38">
        <v>1995</v>
      </c>
      <c r="G53" s="4">
        <f t="shared" si="35"/>
        <v>110842.20000000001</v>
      </c>
      <c r="H53" s="21" t="s">
        <v>133</v>
      </c>
      <c r="I53" s="15">
        <v>17</v>
      </c>
      <c r="J53" s="17">
        <v>2000</v>
      </c>
      <c r="K53" s="16">
        <f t="shared" si="1"/>
        <v>117.64705882352941</v>
      </c>
      <c r="L53" s="15">
        <v>17</v>
      </c>
      <c r="M53" s="17">
        <f t="shared" si="36"/>
        <v>1930.6451612903245</v>
      </c>
      <c r="N53" s="17">
        <f t="shared" si="3"/>
        <v>113.56736242884261</v>
      </c>
      <c r="O53" s="18">
        <f t="shared" si="4"/>
        <v>0</v>
      </c>
      <c r="P53" s="19">
        <f t="shared" si="5"/>
        <v>-4.0796963946867919</v>
      </c>
      <c r="Q53" s="20">
        <f t="shared" si="6"/>
        <v>0.9653225806451623</v>
      </c>
      <c r="R53" s="170"/>
      <c r="S53" s="27">
        <v>0.77013888888888893</v>
      </c>
      <c r="T53" s="27">
        <v>0.81319444444444444</v>
      </c>
      <c r="U53" s="4">
        <f t="shared" si="38"/>
        <v>4.9999999999999822</v>
      </c>
      <c r="V53" s="21">
        <f t="shared" si="37"/>
        <v>61.999999999999943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-69.354838709675505</v>
      </c>
      <c r="AF53" s="20">
        <f t="shared" si="9"/>
        <v>0.9653225806451623</v>
      </c>
      <c r="AG53" s="170"/>
    </row>
    <row r="54" spans="1:33" ht="15.75" customHeight="1">
      <c r="A54" s="178" t="s">
        <v>73</v>
      </c>
      <c r="B54" s="35" t="s">
        <v>78</v>
      </c>
      <c r="C54" s="174" t="s">
        <v>121</v>
      </c>
      <c r="D54" s="175"/>
      <c r="E54" s="35">
        <v>55.32</v>
      </c>
      <c r="F54" s="38">
        <v>1402</v>
      </c>
      <c r="G54" s="4">
        <f t="shared" si="35"/>
        <v>77558.64</v>
      </c>
      <c r="H54" s="21" t="s">
        <v>133</v>
      </c>
      <c r="I54" s="15">
        <v>15</v>
      </c>
      <c r="J54" s="17">
        <v>2000</v>
      </c>
      <c r="K54" s="16">
        <f t="shared" si="1"/>
        <v>133.33333333333334</v>
      </c>
      <c r="L54" s="15">
        <v>15</v>
      </c>
      <c r="M54" s="17">
        <f t="shared" si="36"/>
        <v>1911.8181818181818</v>
      </c>
      <c r="N54" s="17">
        <f t="shared" si="3"/>
        <v>127.45454545454545</v>
      </c>
      <c r="O54" s="18">
        <f t="shared" si="4"/>
        <v>0</v>
      </c>
      <c r="P54" s="19">
        <f t="shared" si="5"/>
        <v>-5.8787878787878896</v>
      </c>
      <c r="Q54" s="20">
        <f t="shared" si="6"/>
        <v>0.95590909090909082</v>
      </c>
      <c r="R54" s="170"/>
      <c r="S54" s="27">
        <v>0.81666666666666665</v>
      </c>
      <c r="T54" s="27">
        <v>0.84722222222222221</v>
      </c>
      <c r="U54" s="4">
        <f t="shared" si="38"/>
        <v>4.9999999999999822</v>
      </c>
      <c r="V54" s="21">
        <f t="shared" si="37"/>
        <v>44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-88.181818181818244</v>
      </c>
      <c r="AF54" s="20">
        <f t="shared" si="9"/>
        <v>0.95590909090909093</v>
      </c>
      <c r="AG54" s="170"/>
    </row>
    <row r="55" spans="1:33">
      <c r="A55" s="179" t="s">
        <v>73</v>
      </c>
      <c r="B55" s="35" t="s">
        <v>48</v>
      </c>
      <c r="C55" s="171"/>
      <c r="D55" s="171"/>
      <c r="E55" s="36"/>
      <c r="F55" s="16"/>
      <c r="G55" s="16"/>
      <c r="H55" s="4"/>
      <c r="I55" s="29">
        <v>18.875</v>
      </c>
      <c r="J55" s="17">
        <v>1937.5</v>
      </c>
      <c r="K55" s="16">
        <f t="shared" si="1"/>
        <v>102.64900662251655</v>
      </c>
      <c r="L55" s="29">
        <v>18.875</v>
      </c>
      <c r="M55" s="17">
        <f>AVERAGE(M47:M54)</f>
        <v>1823.8800893098723</v>
      </c>
      <c r="N55" s="16">
        <f t="shared" si="3"/>
        <v>96.629408705158795</v>
      </c>
      <c r="O55" s="18">
        <f t="shared" si="4"/>
        <v>0</v>
      </c>
      <c r="P55" s="19">
        <f t="shared" si="5"/>
        <v>-6.019597917357757</v>
      </c>
      <c r="Q55" s="20">
        <f t="shared" si="6"/>
        <v>0.94135746545025667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v>8</v>
      </c>
      <c r="AD55" s="30">
        <f>SUM(AD47:AD54)</f>
        <v>0</v>
      </c>
      <c r="AE55" s="18">
        <f>M55-J55</f>
        <v>-113.61991069012765</v>
      </c>
      <c r="AF55" s="20">
        <f t="shared" si="9"/>
        <v>0.94135746545025667</v>
      </c>
      <c r="AG55" s="170"/>
    </row>
    <row r="56" spans="1:33" ht="15.75" customHeight="1">
      <c r="A56" s="172" t="s">
        <v>298</v>
      </c>
      <c r="B56" s="4" t="s">
        <v>84</v>
      </c>
      <c r="C56" s="163" t="s">
        <v>122</v>
      </c>
      <c r="D56" s="163"/>
      <c r="E56" s="35">
        <v>26.97</v>
      </c>
      <c r="F56" s="38">
        <v>2892</v>
      </c>
      <c r="G56" s="4">
        <f t="shared" ref="G56:G59" si="39">E56*F56</f>
        <v>77997.239999999991</v>
      </c>
      <c r="H56" s="21" t="s">
        <v>133</v>
      </c>
      <c r="I56" s="15">
        <v>8</v>
      </c>
      <c r="J56" s="17">
        <v>1500</v>
      </c>
      <c r="K56" s="16">
        <f t="shared" si="1"/>
        <v>187.5</v>
      </c>
      <c r="L56" s="15">
        <v>8</v>
      </c>
      <c r="M56" s="17">
        <f t="shared" ref="M56:M59" si="40">F56/V56*60</f>
        <v>1434.0495867768595</v>
      </c>
      <c r="N56" s="16">
        <f t="shared" si="3"/>
        <v>179.25619834710744</v>
      </c>
      <c r="O56" s="18">
        <f t="shared" si="4"/>
        <v>0</v>
      </c>
      <c r="P56" s="19">
        <f t="shared" si="5"/>
        <v>-8.2438016528925573</v>
      </c>
      <c r="Q56" s="20">
        <f t="shared" si="6"/>
        <v>0.95603305785123971</v>
      </c>
      <c r="R56" s="170">
        <f>Q60</f>
        <v>0.96155519804522227</v>
      </c>
      <c r="S56" s="27">
        <v>0.20833333333333334</v>
      </c>
      <c r="T56" s="27">
        <v>0.29236111111111113</v>
      </c>
      <c r="U56" s="4"/>
      <c r="V56" s="21">
        <f t="shared" ref="V56:V59" si="41">(T56-S56)*24*60</f>
        <v>121</v>
      </c>
      <c r="W56" s="27"/>
      <c r="X56" s="27"/>
      <c r="Y56" s="27"/>
      <c r="Z56" s="27"/>
      <c r="AA56" s="162"/>
      <c r="AB56" s="162"/>
      <c r="AC56" s="24">
        <v>4</v>
      </c>
      <c r="AD56" s="24"/>
      <c r="AE56" s="18">
        <f t="shared" ref="AE56:AE66" si="42">M56-J56</f>
        <v>-65.950413223140458</v>
      </c>
      <c r="AF56" s="20">
        <f t="shared" si="9"/>
        <v>0.95603305785123971</v>
      </c>
      <c r="AG56" s="170">
        <f>AF60</f>
        <v>0.96155519804522227</v>
      </c>
    </row>
    <row r="57" spans="1:33" ht="15.75" customHeight="1">
      <c r="A57" s="172" t="s">
        <v>298</v>
      </c>
      <c r="B57" s="4" t="s">
        <v>108</v>
      </c>
      <c r="C57" s="163" t="s">
        <v>125</v>
      </c>
      <c r="D57" s="163"/>
      <c r="E57" s="35">
        <v>37.85</v>
      </c>
      <c r="F57" s="38">
        <v>1699</v>
      </c>
      <c r="G57" s="4">
        <f t="shared" si="39"/>
        <v>64307.15</v>
      </c>
      <c r="H57" s="21" t="s">
        <v>133</v>
      </c>
      <c r="I57" s="15">
        <v>12</v>
      </c>
      <c r="J57" s="17">
        <v>2000</v>
      </c>
      <c r="K57" s="16">
        <f t="shared" si="1"/>
        <v>166.66666666666666</v>
      </c>
      <c r="L57" s="15">
        <v>12</v>
      </c>
      <c r="M57" s="17">
        <f t="shared" si="40"/>
        <v>1923.3962264150955</v>
      </c>
      <c r="N57" s="16">
        <f t="shared" si="3"/>
        <v>160.28301886792462</v>
      </c>
      <c r="O57" s="18">
        <f t="shared" si="4"/>
        <v>0</v>
      </c>
      <c r="P57" s="19">
        <f t="shared" si="5"/>
        <v>-6.3836477987420324</v>
      </c>
      <c r="Q57" s="20">
        <f t="shared" si="6"/>
        <v>0.96169811320754783</v>
      </c>
      <c r="R57" s="170"/>
      <c r="S57" s="27">
        <v>0.29583333333333334</v>
      </c>
      <c r="T57" s="27">
        <v>0.33263888888888887</v>
      </c>
      <c r="U57" s="4">
        <f t="shared" ref="U57:U59" si="43">(S57-T56)*24*60</f>
        <v>4.9999999999999822</v>
      </c>
      <c r="V57" s="21">
        <f t="shared" si="41"/>
        <v>52.999999999999972</v>
      </c>
      <c r="W57" s="4"/>
      <c r="X57" s="4"/>
      <c r="Y57" s="4"/>
      <c r="Z57" s="4"/>
      <c r="AA57" s="162"/>
      <c r="AB57" s="162"/>
      <c r="AC57" s="24"/>
      <c r="AD57" s="24"/>
      <c r="AE57" s="18">
        <f t="shared" si="42"/>
        <v>-76.603773584904502</v>
      </c>
      <c r="AF57" s="20">
        <f t="shared" si="9"/>
        <v>0.96169811320754772</v>
      </c>
      <c r="AG57" s="170"/>
    </row>
    <row r="58" spans="1:33" ht="15.75" customHeight="1">
      <c r="A58" s="172" t="s">
        <v>1328</v>
      </c>
      <c r="B58" s="4" t="s">
        <v>108</v>
      </c>
      <c r="C58" s="163" t="s">
        <v>126</v>
      </c>
      <c r="D58" s="163"/>
      <c r="E58" s="35">
        <v>34.36</v>
      </c>
      <c r="F58" s="38">
        <v>1798</v>
      </c>
      <c r="G58" s="4">
        <f t="shared" si="39"/>
        <v>61779.28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0"/>
        <v>2915.6756756756731</v>
      </c>
      <c r="N58" s="16">
        <f t="shared" si="3"/>
        <v>291.56756756756732</v>
      </c>
      <c r="O58" s="18">
        <f t="shared" si="4"/>
        <v>0</v>
      </c>
      <c r="P58" s="19">
        <f t="shared" si="5"/>
        <v>-8.4324324324326767</v>
      </c>
      <c r="Q58" s="20">
        <f t="shared" si="6"/>
        <v>0.97189189189189107</v>
      </c>
      <c r="R58" s="170"/>
      <c r="S58" s="27">
        <v>0.33819444444444441</v>
      </c>
      <c r="T58" s="27">
        <v>0.36388888888888887</v>
      </c>
      <c r="U58" s="4">
        <f t="shared" si="43"/>
        <v>7.9999999999999716</v>
      </c>
      <c r="V58" s="21">
        <f t="shared" si="41"/>
        <v>37.000000000000028</v>
      </c>
      <c r="W58" s="4"/>
      <c r="X58" s="4"/>
      <c r="Y58" s="4"/>
      <c r="Z58" s="4"/>
      <c r="AA58" s="162"/>
      <c r="AB58" s="162"/>
      <c r="AC58" s="24"/>
      <c r="AD58" s="24"/>
      <c r="AE58" s="18">
        <f t="shared" si="42"/>
        <v>-84.324324324326881</v>
      </c>
      <c r="AF58" s="20">
        <f t="shared" si="9"/>
        <v>0.97189189189189107</v>
      </c>
      <c r="AG58" s="170"/>
    </row>
    <row r="59" spans="1:33" ht="15.75" customHeight="1">
      <c r="A59" s="172" t="s">
        <v>298</v>
      </c>
      <c r="B59" s="4" t="s">
        <v>108</v>
      </c>
      <c r="C59" s="163" t="s">
        <v>127</v>
      </c>
      <c r="D59" s="163"/>
      <c r="E59" s="35">
        <v>35.119999999999997</v>
      </c>
      <c r="F59" s="38">
        <v>5771</v>
      </c>
      <c r="G59" s="4">
        <f t="shared" si="39"/>
        <v>202677.52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0"/>
        <v>2861.6528925619841</v>
      </c>
      <c r="N59" s="16">
        <f t="shared" si="3"/>
        <v>286.16528925619843</v>
      </c>
      <c r="O59" s="18">
        <f t="shared" si="4"/>
        <v>0</v>
      </c>
      <c r="P59" s="19">
        <f t="shared" si="5"/>
        <v>-13.834710743801566</v>
      </c>
      <c r="Q59" s="20">
        <f t="shared" si="6"/>
        <v>0.95388429752066139</v>
      </c>
      <c r="R59" s="170"/>
      <c r="S59" s="27">
        <v>0.36944444444444441</v>
      </c>
      <c r="T59" s="27">
        <v>0.45347222222222217</v>
      </c>
      <c r="U59" s="4">
        <f t="shared" si="43"/>
        <v>7.9999999999999716</v>
      </c>
      <c r="V59" s="21">
        <f t="shared" si="41"/>
        <v>120.99999999999997</v>
      </c>
      <c r="W59" s="4"/>
      <c r="X59" s="4"/>
      <c r="Y59" s="4"/>
      <c r="Z59" s="4"/>
      <c r="AA59" s="162"/>
      <c r="AB59" s="162"/>
      <c r="AC59" s="24"/>
      <c r="AD59" s="24"/>
      <c r="AE59" s="18">
        <f t="shared" si="42"/>
        <v>-138.34710743801588</v>
      </c>
      <c r="AF59" s="20">
        <f t="shared" si="9"/>
        <v>0.95388429752066139</v>
      </c>
      <c r="AG59" s="170"/>
    </row>
    <row r="60" spans="1:33">
      <c r="A60" s="173" t="s">
        <v>1329</v>
      </c>
      <c r="B60" s="35" t="s">
        <v>53</v>
      </c>
      <c r="C60" s="171"/>
      <c r="D60" s="171"/>
      <c r="E60" s="36"/>
      <c r="F60" s="16"/>
      <c r="G60" s="16"/>
      <c r="H60" s="4"/>
      <c r="I60" s="29">
        <v>10</v>
      </c>
      <c r="J60" s="17">
        <v>2375</v>
      </c>
      <c r="K60" s="16">
        <f t="shared" si="1"/>
        <v>237.5</v>
      </c>
      <c r="L60" s="29">
        <v>10</v>
      </c>
      <c r="M60" s="17">
        <f>AVERAGE(M56:M59)</f>
        <v>2283.693595357403</v>
      </c>
      <c r="N60" s="16">
        <f t="shared" si="3"/>
        <v>228.3693595357403</v>
      </c>
      <c r="O60" s="18">
        <f t="shared" si="4"/>
        <v>0</v>
      </c>
      <c r="P60" s="19">
        <f t="shared" si="5"/>
        <v>-9.1306404642596988</v>
      </c>
      <c r="Q60" s="20">
        <f t="shared" si="6"/>
        <v>0.96155519804522227</v>
      </c>
      <c r="R60" s="170"/>
      <c r="S60" s="27"/>
      <c r="T60" s="27"/>
      <c r="U60" s="16"/>
      <c r="V60" s="21"/>
      <c r="W60" s="16"/>
      <c r="X60" s="16"/>
      <c r="Y60" s="30">
        <f>SUM(Y56:Y59)</f>
        <v>0</v>
      </c>
      <c r="Z60" s="30">
        <f>SUM(Z56:Z59)</f>
        <v>0</v>
      </c>
      <c r="AA60" s="166"/>
      <c r="AB60" s="166"/>
      <c r="AC60" s="30">
        <v>4</v>
      </c>
      <c r="AD60" s="30">
        <f>SUM(AD56:AD59)</f>
        <v>0</v>
      </c>
      <c r="AE60" s="18">
        <f t="shared" si="42"/>
        <v>-91.306404642597045</v>
      </c>
      <c r="AF60" s="20">
        <f t="shared" si="9"/>
        <v>0.96155519804522227</v>
      </c>
      <c r="AG60" s="170"/>
    </row>
    <row r="61" spans="1:33" ht="15.75" customHeight="1">
      <c r="A61" s="167" t="s">
        <v>75</v>
      </c>
      <c r="B61" s="4" t="s">
        <v>97</v>
      </c>
      <c r="C61" s="163" t="s">
        <v>128</v>
      </c>
      <c r="D61" s="163"/>
      <c r="E61" s="35">
        <v>20.2</v>
      </c>
      <c r="F61" s="4">
        <v>1634</v>
      </c>
      <c r="G61" s="4">
        <f t="shared" ref="G61:G65" si="44">E61*F61</f>
        <v>33006.799999999996</v>
      </c>
      <c r="H61" s="21" t="s">
        <v>133</v>
      </c>
      <c r="I61" s="15">
        <v>15</v>
      </c>
      <c r="J61" s="17">
        <v>2400</v>
      </c>
      <c r="K61" s="16">
        <f t="shared" si="1"/>
        <v>160</v>
      </c>
      <c r="L61" s="15">
        <v>15</v>
      </c>
      <c r="M61" s="17">
        <f t="shared" ref="M61:M65" si="45">F61/V61*60</f>
        <v>2334.2857142857133</v>
      </c>
      <c r="N61" s="16">
        <f t="shared" si="3"/>
        <v>155.61904761904756</v>
      </c>
      <c r="O61" s="18">
        <f t="shared" si="4"/>
        <v>0</v>
      </c>
      <c r="P61" s="19">
        <f t="shared" si="5"/>
        <v>-4.3809523809524364</v>
      </c>
      <c r="Q61" s="20">
        <f t="shared" si="6"/>
        <v>0.97261904761904727</v>
      </c>
      <c r="R61" s="170">
        <f>Q66</f>
        <v>0.96169052663438237</v>
      </c>
      <c r="S61" s="27">
        <v>0.125</v>
      </c>
      <c r="T61" s="27">
        <v>0.15416666666666667</v>
      </c>
      <c r="U61" s="27"/>
      <c r="V61" s="21">
        <f t="shared" ref="V61:V65" si="46">(T61-S61)*24*60</f>
        <v>42.000000000000014</v>
      </c>
      <c r="W61" s="22">
        <f>T61</f>
        <v>0.15416666666666667</v>
      </c>
      <c r="X61" s="22">
        <f>S62</f>
        <v>0.17291666666666666</v>
      </c>
      <c r="Y61" s="22"/>
      <c r="Z61" s="22"/>
      <c r="AA61" s="162"/>
      <c r="AB61" s="162"/>
      <c r="AC61" s="24">
        <v>5</v>
      </c>
      <c r="AD61" s="24"/>
      <c r="AE61" s="18">
        <f t="shared" si="42"/>
        <v>-65.714285714286689</v>
      </c>
      <c r="AF61" s="20">
        <f t="shared" si="9"/>
        <v>0.97261904761904716</v>
      </c>
      <c r="AG61" s="170">
        <f>AF66</f>
        <v>0.96169052663438226</v>
      </c>
    </row>
    <row r="62" spans="1:33" ht="15.75" customHeight="1">
      <c r="A62" s="168" t="s">
        <v>1330</v>
      </c>
      <c r="B62" s="4" t="s">
        <v>97</v>
      </c>
      <c r="C62" s="163" t="s">
        <v>129</v>
      </c>
      <c r="D62" s="163"/>
      <c r="E62" s="35">
        <v>24.45</v>
      </c>
      <c r="F62" s="4">
        <v>2169</v>
      </c>
      <c r="G62" s="4">
        <f t="shared" si="44"/>
        <v>53032.049999999996</v>
      </c>
      <c r="H62" s="21" t="s">
        <v>133</v>
      </c>
      <c r="I62" s="15">
        <v>19</v>
      </c>
      <c r="J62" s="17">
        <v>2400</v>
      </c>
      <c r="K62" s="16">
        <f t="shared" si="1"/>
        <v>126.31578947368421</v>
      </c>
      <c r="L62" s="15">
        <v>19</v>
      </c>
      <c r="M62" s="17">
        <f t="shared" si="45"/>
        <v>2323.9285714285711</v>
      </c>
      <c r="N62" s="16">
        <f t="shared" si="3"/>
        <v>122.31203007518795</v>
      </c>
      <c r="O62" s="18">
        <f t="shared" si="4"/>
        <v>0</v>
      </c>
      <c r="P62" s="19">
        <f t="shared" si="5"/>
        <v>-4.0037593984962569</v>
      </c>
      <c r="Q62" s="20">
        <f t="shared" si="6"/>
        <v>0.96830357142857126</v>
      </c>
      <c r="R62" s="170"/>
      <c r="S62" s="27">
        <v>0.17291666666666666</v>
      </c>
      <c r="T62" s="27">
        <v>0.21180555555555555</v>
      </c>
      <c r="U62" s="4">
        <f t="shared" ref="U62:U65" si="47">(S62-T61)*24*60</f>
        <v>26.999999999999986</v>
      </c>
      <c r="V62" s="21">
        <f t="shared" si="46"/>
        <v>56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2"/>
        <v>-76.071428571428896</v>
      </c>
      <c r="AF62" s="20">
        <f t="shared" si="9"/>
        <v>0.96830357142857126</v>
      </c>
      <c r="AG62" s="170"/>
    </row>
    <row r="63" spans="1:33" ht="15.75" customHeight="1">
      <c r="A63" s="168" t="s">
        <v>1330</v>
      </c>
      <c r="B63" s="4" t="s">
        <v>97</v>
      </c>
      <c r="C63" s="163" t="s">
        <v>130</v>
      </c>
      <c r="D63" s="163"/>
      <c r="E63" s="35">
        <v>24.43</v>
      </c>
      <c r="F63" s="4">
        <v>5505</v>
      </c>
      <c r="G63" s="4">
        <f t="shared" si="44"/>
        <v>134487.15</v>
      </c>
      <c r="H63" s="21" t="s">
        <v>133</v>
      </c>
      <c r="I63" s="15">
        <v>14</v>
      </c>
      <c r="J63" s="17">
        <v>2400</v>
      </c>
      <c r="K63" s="16">
        <f t="shared" si="1"/>
        <v>171.42857142857142</v>
      </c>
      <c r="L63" s="15">
        <v>14</v>
      </c>
      <c r="M63" s="17">
        <f t="shared" si="45"/>
        <v>2293.7500000000005</v>
      </c>
      <c r="N63" s="16">
        <f t="shared" si="3"/>
        <v>163.83928571428575</v>
      </c>
      <c r="O63" s="18">
        <f t="shared" si="4"/>
        <v>0</v>
      </c>
      <c r="P63" s="19">
        <f t="shared" si="5"/>
        <v>-7.5892857142856656</v>
      </c>
      <c r="Q63" s="20">
        <f t="shared" si="6"/>
        <v>0.95572916666666696</v>
      </c>
      <c r="R63" s="170"/>
      <c r="S63" s="27">
        <v>0.21736111111111112</v>
      </c>
      <c r="T63" s="27">
        <v>0.31736111111111109</v>
      </c>
      <c r="U63" s="4">
        <f t="shared" si="47"/>
        <v>8.0000000000000107</v>
      </c>
      <c r="V63" s="21">
        <f t="shared" si="46"/>
        <v>143.99999999999997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2"/>
        <v>-106.24999999999955</v>
      </c>
      <c r="AF63" s="20">
        <f t="shared" si="9"/>
        <v>0.95572916666666685</v>
      </c>
      <c r="AG63" s="170"/>
    </row>
    <row r="64" spans="1:33" ht="15.75" customHeight="1">
      <c r="A64" s="168" t="s">
        <v>75</v>
      </c>
      <c r="B64" s="4" t="s">
        <v>97</v>
      </c>
      <c r="C64" s="163" t="s">
        <v>132</v>
      </c>
      <c r="D64" s="163"/>
      <c r="E64" s="35">
        <v>19.02</v>
      </c>
      <c r="F64" s="4">
        <v>7630</v>
      </c>
      <c r="G64" s="4">
        <f t="shared" si="44"/>
        <v>145122.6</v>
      </c>
      <c r="H64" s="21" t="s">
        <v>133</v>
      </c>
      <c r="I64" s="15">
        <v>14</v>
      </c>
      <c r="J64" s="17">
        <v>2400</v>
      </c>
      <c r="K64" s="16">
        <f t="shared" si="1"/>
        <v>171.42857142857142</v>
      </c>
      <c r="L64" s="15">
        <v>14</v>
      </c>
      <c r="M64" s="17">
        <f t="shared" si="45"/>
        <v>2289</v>
      </c>
      <c r="N64" s="16">
        <f t="shared" si="3"/>
        <v>163.5</v>
      </c>
      <c r="O64" s="18">
        <f t="shared" si="4"/>
        <v>0</v>
      </c>
      <c r="P64" s="19">
        <f t="shared" si="5"/>
        <v>-7.9285714285714164</v>
      </c>
      <c r="Q64" s="20">
        <f t="shared" si="6"/>
        <v>0.9537500000000001</v>
      </c>
      <c r="R64" s="170"/>
      <c r="S64" s="27">
        <v>0.32291666666666663</v>
      </c>
      <c r="T64" s="27">
        <v>0.46180555555555552</v>
      </c>
      <c r="U64" s="4">
        <f t="shared" si="47"/>
        <v>7.9999999999999716</v>
      </c>
      <c r="V64" s="21">
        <f t="shared" si="46"/>
        <v>200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2"/>
        <v>-111</v>
      </c>
      <c r="AF64" s="20">
        <f t="shared" si="9"/>
        <v>0.95374999999999999</v>
      </c>
      <c r="AG64" s="170"/>
    </row>
    <row r="65" spans="1:33" ht="15.75" customHeight="1">
      <c r="A65" s="168" t="s">
        <v>75</v>
      </c>
      <c r="B65" s="4" t="s">
        <v>97</v>
      </c>
      <c r="C65" s="163" t="s">
        <v>106</v>
      </c>
      <c r="D65" s="163"/>
      <c r="E65" s="35">
        <v>20.21</v>
      </c>
      <c r="F65" s="4">
        <v>2261</v>
      </c>
      <c r="G65" s="4">
        <f t="shared" si="44"/>
        <v>45694.810000000005</v>
      </c>
      <c r="H65" s="21" t="s">
        <v>133</v>
      </c>
      <c r="I65" s="15">
        <v>15</v>
      </c>
      <c r="J65" s="17">
        <v>2400</v>
      </c>
      <c r="K65" s="16">
        <f t="shared" si="1"/>
        <v>160</v>
      </c>
      <c r="L65" s="15">
        <v>15</v>
      </c>
      <c r="M65" s="17">
        <f t="shared" si="45"/>
        <v>2299.3220338983037</v>
      </c>
      <c r="N65" s="16">
        <f t="shared" si="3"/>
        <v>153.28813559322026</v>
      </c>
      <c r="O65" s="18">
        <f t="shared" si="4"/>
        <v>0</v>
      </c>
      <c r="P65" s="19">
        <f t="shared" si="5"/>
        <v>-6.7118644067797391</v>
      </c>
      <c r="Q65" s="20">
        <f t="shared" si="6"/>
        <v>0.95805084745762659</v>
      </c>
      <c r="R65" s="170"/>
      <c r="S65" s="27">
        <v>0.46597222222222218</v>
      </c>
      <c r="T65" s="27">
        <v>0.50694444444444442</v>
      </c>
      <c r="U65" s="4">
        <f t="shared" si="47"/>
        <v>5.9999999999999787</v>
      </c>
      <c r="V65" s="21">
        <f t="shared" si="46"/>
        <v>59.000000000000028</v>
      </c>
      <c r="W65" s="22"/>
      <c r="X65" s="22"/>
      <c r="Y65" s="22"/>
      <c r="Z65" s="22"/>
      <c r="AA65" s="162"/>
      <c r="AB65" s="162"/>
      <c r="AC65" s="24"/>
      <c r="AD65" s="24"/>
      <c r="AE65" s="18">
        <f t="shared" si="42"/>
        <v>-100.67796610169626</v>
      </c>
      <c r="AF65" s="20">
        <f t="shared" si="9"/>
        <v>0.95805084745762659</v>
      </c>
      <c r="AG65" s="170"/>
    </row>
    <row r="66" spans="1:33" ht="16.5" customHeight="1">
      <c r="A66" s="169" t="s">
        <v>75</v>
      </c>
      <c r="B66" s="35" t="s">
        <v>48</v>
      </c>
      <c r="C66" s="164"/>
      <c r="D66" s="165"/>
      <c r="E66" s="36"/>
      <c r="F66" s="16"/>
      <c r="G66" s="16"/>
      <c r="H66" s="4"/>
      <c r="I66" s="29">
        <v>15.4</v>
      </c>
      <c r="J66" s="17">
        <v>2400</v>
      </c>
      <c r="K66" s="16">
        <f t="shared" si="1"/>
        <v>155.84415584415584</v>
      </c>
      <c r="L66" s="29">
        <v>15.4</v>
      </c>
      <c r="M66" s="17">
        <f>AVERAGE(M61:M65)</f>
        <v>2308.0572639225174</v>
      </c>
      <c r="N66" s="16">
        <f t="shared" si="3"/>
        <v>149.87384830665698</v>
      </c>
      <c r="O66" s="18">
        <f t="shared" si="4"/>
        <v>0</v>
      </c>
      <c r="P66" s="19">
        <f t="shared" si="5"/>
        <v>-5.9703075374988543</v>
      </c>
      <c r="Q66" s="20">
        <f t="shared" si="6"/>
        <v>0.96169052663438237</v>
      </c>
      <c r="R66" s="170"/>
      <c r="S66" s="27"/>
      <c r="T66" s="27"/>
      <c r="U66" s="16"/>
      <c r="V66" s="21"/>
      <c r="W66" s="16"/>
      <c r="X66" s="16"/>
      <c r="Y66" s="30">
        <f>SUM(Y61:Y65)</f>
        <v>0</v>
      </c>
      <c r="Z66" s="30">
        <f>SUM(Z61:Z65)</f>
        <v>0</v>
      </c>
      <c r="AA66" s="166"/>
      <c r="AB66" s="166"/>
      <c r="AC66" s="30">
        <v>5</v>
      </c>
      <c r="AD66" s="30">
        <f>SUM(AD61:AD65)</f>
        <v>0</v>
      </c>
      <c r="AE66" s="18">
        <f t="shared" si="42"/>
        <v>-91.94273607748255</v>
      </c>
      <c r="AF66" s="20">
        <f t="shared" si="9"/>
        <v>0.96169052663438226</v>
      </c>
      <c r="AG66" s="170"/>
    </row>
    <row r="67" spans="1:33">
      <c r="D67" s="41"/>
      <c r="E67" s="41"/>
    </row>
  </sheetData>
  <mergeCells count="185"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61:A66"/>
    <mergeCell ref="C61:D61"/>
    <mergeCell ref="R61:R66"/>
    <mergeCell ref="AA61:AB61"/>
    <mergeCell ref="A56:A60"/>
    <mergeCell ref="C56:D56"/>
    <mergeCell ref="R56:R60"/>
    <mergeCell ref="AA56:AB56"/>
    <mergeCell ref="R47:R55"/>
    <mergeCell ref="AA47:AB47"/>
    <mergeCell ref="AA53:AB53"/>
    <mergeCell ref="C54:D54"/>
    <mergeCell ref="AA54:AB54"/>
    <mergeCell ref="C55:D55"/>
    <mergeCell ref="AA55:AB55"/>
    <mergeCell ref="AG47:AG55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G56:AG60"/>
    <mergeCell ref="A38:A46"/>
    <mergeCell ref="C38:D38"/>
    <mergeCell ref="R38:R46"/>
    <mergeCell ref="AA38:AB38"/>
    <mergeCell ref="AA43:AB43"/>
    <mergeCell ref="C44:D44"/>
    <mergeCell ref="AA44:AB44"/>
    <mergeCell ref="C45:D45"/>
    <mergeCell ref="AG38:AG46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A45:AB45"/>
    <mergeCell ref="C46:D46"/>
    <mergeCell ref="AA46:AB46"/>
    <mergeCell ref="A47:A55"/>
    <mergeCell ref="C47:D47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37:D37"/>
    <mergeCell ref="AA37:AB37"/>
    <mergeCell ref="A31:A37"/>
    <mergeCell ref="C31:D31"/>
    <mergeCell ref="R31:R37"/>
    <mergeCell ref="AA31:AB31"/>
    <mergeCell ref="AA36:AB36"/>
    <mergeCell ref="A25:A30"/>
    <mergeCell ref="C25:D25"/>
    <mergeCell ref="R25:R30"/>
    <mergeCell ref="AA25:AB25"/>
    <mergeCell ref="AG25:AG30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8:AB28"/>
    <mergeCell ref="C29:D29"/>
    <mergeCell ref="AA29:AB29"/>
    <mergeCell ref="C30:D30"/>
    <mergeCell ref="AA30:AB30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14:A18"/>
    <mergeCell ref="C14:D14"/>
    <mergeCell ref="R14:R18"/>
    <mergeCell ref="AA14:AB14"/>
    <mergeCell ref="AG14:AG18"/>
    <mergeCell ref="C18:D18"/>
    <mergeCell ref="AA18:AB18"/>
    <mergeCell ref="A11:A13"/>
    <mergeCell ref="C11:D11"/>
    <mergeCell ref="R11:R13"/>
    <mergeCell ref="AA11:AB11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G5:AG10"/>
    <mergeCell ref="C6:D6"/>
    <mergeCell ref="AA6:AB6"/>
    <mergeCell ref="C10:D10"/>
    <mergeCell ref="AA10:AB10"/>
    <mergeCell ref="C7:D7"/>
    <mergeCell ref="AA7:AB7"/>
    <mergeCell ref="C8:D8"/>
    <mergeCell ref="AA8:AB8"/>
    <mergeCell ref="C9:D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H3:H4"/>
    <mergeCell ref="I3:I4"/>
    <mergeCell ref="AC3:AD3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66">
    <cfRule type="cellIs" dxfId="124" priority="9" operator="greaterThan">
      <formula>0</formula>
    </cfRule>
  </conditionalFormatting>
  <conditionalFormatting sqref="P5:P66">
    <cfRule type="cellIs" dxfId="123" priority="1" operator="lessThan">
      <formula>0</formula>
    </cfRule>
  </conditionalFormatting>
  <conditionalFormatting sqref="Q5:Q66 AF5:AF66">
    <cfRule type="cellIs" dxfId="122" priority="10" operator="greaterThan">
      <formula>1</formula>
    </cfRule>
    <cfRule type="cellIs" dxfId="121" priority="11" operator="lessThan">
      <formula>0.8</formula>
    </cfRule>
  </conditionalFormatting>
  <conditionalFormatting sqref="R5:R11 AG5:AG11">
    <cfRule type="cellIs" dxfId="120" priority="59" operator="lessThan">
      <formula>0.8</formula>
    </cfRule>
  </conditionalFormatting>
  <conditionalFormatting sqref="AE5:AE66">
    <cfRule type="cellIs" dxfId="119" priority="12" operator="lessThan">
      <formula>0</formula>
    </cfRule>
  </conditionalFormatting>
  <conditionalFormatting sqref="AG14:AG59 R14:R66">
    <cfRule type="cellIs" dxfId="118" priority="13" operator="lessThan">
      <formula>0.8</formula>
    </cfRule>
  </conditionalFormatting>
  <dataValidations count="1">
    <dataValidation type="list" allowBlank="1" showInputMessage="1" showErrorMessage="1" sqref="AB10 AA5:AB9 AA10:AA59 AB12:AB56 AA60:AB66" xr:uid="{00000000-0002-0000-2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32"/>
  <sheetViews>
    <sheetView zoomScale="85" zoomScaleNormal="85" workbookViewId="0">
      <selection activeCell="G29" sqref="G29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1143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1144</v>
      </c>
      <c r="C3" s="151" t="str">
        <f>TEXT('0313 4度C'!A2,"yyyy.mm.ddaaaa")</f>
        <v>2026.03.13星期五</v>
      </c>
      <c r="D3" s="152"/>
      <c r="E3" s="45" t="s">
        <v>606</v>
      </c>
      <c r="F3" s="153">
        <f>'0313 4度C'!D1</f>
        <v>131755</v>
      </c>
      <c r="G3" s="154"/>
      <c r="H3" s="45" t="s">
        <v>607</v>
      </c>
      <c r="I3" s="155">
        <f>'0313 4度C'!F1</f>
        <v>4420673.870000002</v>
      </c>
      <c r="J3" s="156"/>
      <c r="K3" s="46"/>
      <c r="L3" s="47"/>
      <c r="M3" s="47"/>
      <c r="N3" s="47"/>
    </row>
    <row r="4" spans="2:17" ht="28.5" customHeight="1">
      <c r="B4" s="157" t="s">
        <v>1145</v>
      </c>
      <c r="C4" s="143" t="s">
        <v>1146</v>
      </c>
      <c r="D4" s="144"/>
      <c r="E4" s="160" t="s">
        <v>1147</v>
      </c>
      <c r="F4" s="161"/>
      <c r="G4" s="160" t="s">
        <v>1148</v>
      </c>
      <c r="H4" s="161"/>
      <c r="I4" s="160" t="s">
        <v>1149</v>
      </c>
      <c r="J4" s="161"/>
      <c r="K4" s="141" t="s">
        <v>1150</v>
      </c>
      <c r="L4" s="142"/>
      <c r="M4" s="142" t="s">
        <v>1151</v>
      </c>
      <c r="N4" s="142"/>
    </row>
    <row r="5" spans="2:17" ht="28.5" customHeight="1">
      <c r="B5" s="158"/>
      <c r="C5" s="143" t="s">
        <v>1152</v>
      </c>
      <c r="D5" s="144"/>
      <c r="E5" s="143" t="s">
        <v>1153</v>
      </c>
      <c r="F5" s="144"/>
      <c r="G5" s="145" t="s">
        <v>1154</v>
      </c>
      <c r="H5" s="146"/>
      <c r="I5" s="147" t="s">
        <v>1155</v>
      </c>
      <c r="J5" s="148"/>
      <c r="K5" s="48" t="s">
        <v>1156</v>
      </c>
      <c r="L5" s="49" t="s">
        <v>1157</v>
      </c>
      <c r="M5" s="48" t="s">
        <v>1158</v>
      </c>
      <c r="N5" s="49" t="s">
        <v>1159</v>
      </c>
    </row>
    <row r="6" spans="2:17" ht="28.5" customHeight="1">
      <c r="B6" s="158"/>
      <c r="C6" s="143" t="s">
        <v>153</v>
      </c>
      <c r="D6" s="144"/>
      <c r="E6" s="135">
        <f>AVERAGE(D13:M13)</f>
        <v>150.60098833818708</v>
      </c>
      <c r="F6" s="136">
        <f>AVERAGE(D31:O31,D13:J13)</f>
        <v>154.27501709804298</v>
      </c>
      <c r="G6" s="137">
        <f>AVERAGE(D13:J13)</f>
        <v>154.27501709804298</v>
      </c>
      <c r="H6" s="138"/>
      <c r="I6" s="137">
        <f>AVERAGE(K13:M13)</f>
        <v>142.02825456518997</v>
      </c>
      <c r="J6" s="138"/>
      <c r="K6" s="139">
        <f>'0313 4度C'!Y2</f>
        <v>0</v>
      </c>
      <c r="L6" s="124">
        <f>'0313 4度C'!Z2</f>
        <v>0</v>
      </c>
      <c r="M6" s="140">
        <f>'0313 4度C'!AC2</f>
        <v>52</v>
      </c>
      <c r="N6" s="124">
        <f>'0313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144.24583063296814</v>
      </c>
      <c r="F7" s="128">
        <f>AVERAGE(D32:O32,D14:J14)</f>
        <v>147.78670516777876</v>
      </c>
      <c r="G7" s="129">
        <f>AVERAGE(D14:J14)</f>
        <v>147.78670516777876</v>
      </c>
      <c r="H7" s="130"/>
      <c r="I7" s="129">
        <f>AVERAGE(K14:M14)</f>
        <v>135.98379005174334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0.95645989081552985</v>
      </c>
      <c r="F8" s="132">
        <f>AVERAGE(D15:J15,D33:O33)</f>
        <v>0.95606822738604846</v>
      </c>
      <c r="G8" s="133">
        <f>AVERAGE(D15:J15)</f>
        <v>0.95606822738604846</v>
      </c>
      <c r="H8" s="134"/>
      <c r="I8" s="133">
        <f>AVERAGE(K15:M15)</f>
        <v>0.95737377215098662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1160</v>
      </c>
      <c r="N9" s="47"/>
      <c r="O9" s="47"/>
      <c r="P9" s="47"/>
      <c r="Q9" s="47"/>
    </row>
    <row r="10" spans="2:17" ht="30" customHeight="1">
      <c r="B10" s="107" t="s">
        <v>1161</v>
      </c>
      <c r="C10" s="108"/>
      <c r="D10" s="109" t="s">
        <v>1162</v>
      </c>
      <c r="E10" s="110"/>
      <c r="F10" s="110"/>
      <c r="G10" s="110"/>
      <c r="H10" s="110"/>
      <c r="I10" s="110"/>
      <c r="J10" s="111"/>
      <c r="K10" s="112" t="s">
        <v>1163</v>
      </c>
      <c r="L10" s="113"/>
      <c r="M10" s="114"/>
      <c r="P10" s="53"/>
      <c r="Q10" s="53"/>
    </row>
    <row r="11" spans="2:17" ht="17.25" customHeight="1">
      <c r="B11" s="115" t="s">
        <v>1164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1165</v>
      </c>
      <c r="C13" s="60" t="s">
        <v>1166</v>
      </c>
      <c r="D13" s="61">
        <f>SUMIFS('0313 4度C'!$K:$K,'0313 4度C'!$A:$A,"新豐6線",'0313 4度C'!$B:$B,"平均")</f>
        <v>113.63636363636363</v>
      </c>
      <c r="E13" s="62">
        <f>SUMIFS('0313 4度C'!$K:$K,'0313 4度C'!$A:$A,"新豐2線",'0313 4度C'!$B:$B,"平均")</f>
        <v>83.333333333333329</v>
      </c>
      <c r="F13" s="63">
        <f>SUMIFS('0313 4度C'!$K:$K,'0313 4度C'!$A:$A,"新豐5線",'0313 4度C'!$B:$B,"平均")</f>
        <v>102.73972602739725</v>
      </c>
      <c r="G13" s="63">
        <f>SUMIFS('0313 4度C'!$K:$K,'0313 4度C'!$A:$A,"新豐7線",'0313 4度C'!$B:$B,"平均")</f>
        <v>128.37837837837839</v>
      </c>
      <c r="H13" s="63">
        <f>SUMIFS('0313 4度C'!$K:$K,'0313 4度C'!$A:$A,"新豐3線",'0313 4度C'!$B:$B,"平均")</f>
        <v>311.68831168831167</v>
      </c>
      <c r="I13" s="63">
        <f>SUMIFS('0313 4度C'!$K:$K,'0313 4度C'!$A:$A,"新豐1線",'0313 4度C'!$B:$B,"平均")</f>
        <v>102.64900662251655</v>
      </c>
      <c r="J13" s="64">
        <f>SUMIFS('0313 4度C'!$K:$K,'0313 4度C'!$A:$A,"新豐10線",'0313 4度C'!$B:$B,"平均")</f>
        <v>237.5</v>
      </c>
      <c r="K13" s="65">
        <f>SUMIFS('0313 4度C'!$K:$K,'0313 4度C'!$A:$A,"新豐8線",'0313 4度C'!$B:$B,"平均")</f>
        <v>130.43478260869566</v>
      </c>
      <c r="L13" s="66">
        <f>SUMIFS('0313 4度C'!$K:$K,'0313 4度C'!$A:$A,"新豐9線",'0313 4度C'!$B:$B,"平均")</f>
        <v>139.80582524271844</v>
      </c>
      <c r="M13" s="64">
        <f>SUMIFS('0313 4度C'!$K:$K,'0313 4度C'!$A:$A,"新豐4線",'0313 4度C'!$B:$B,"平均")</f>
        <v>155.84415584415584</v>
      </c>
    </row>
    <row r="14" spans="2:17" ht="39.6" customHeight="1">
      <c r="B14" s="120"/>
      <c r="C14" s="67" t="s">
        <v>1167</v>
      </c>
      <c r="D14" s="68">
        <f>SUMIFS('0313 4度C'!$N:$N,'0313 4度C'!$A:$A,"新豐6線",'0313 4度C'!$B:$B,"平均")</f>
        <v>108.38118384993345</v>
      </c>
      <c r="E14" s="69">
        <f>SUMIFS('0313 4度C'!$N:$N,'0313 4度C'!$A:$A,"新豐2線",'0313 4度C'!$B:$B,"平均")</f>
        <v>79.461906215034062</v>
      </c>
      <c r="F14" s="69">
        <f>SUMIFS('0313 4度C'!$N:$N,'0313 4度C'!$A:$A,"新豐5線",'0313 4度C'!$B:$B,"平均")</f>
        <v>99.036231163001631</v>
      </c>
      <c r="G14" s="69">
        <f>SUMIFS('0313 4度C'!$N:$N,'0313 4度C'!$A:$A,"新豐7線",'0313 4度C'!$B:$B,"平均")</f>
        <v>122.75795235572663</v>
      </c>
      <c r="H14" s="69">
        <f>SUMIFS('0313 4度C'!$N:$N,'0313 4度C'!$A:$A,"新豐3線",'0313 4度C'!$B:$B,"平均")</f>
        <v>299.86183498428403</v>
      </c>
      <c r="I14" s="69">
        <f>SUMIFS('0313 4度C'!$N:$N,'0313 4度C'!$A:$A,"新豐1線",'0313 4度C'!$B:$B,"平均")</f>
        <v>96.629459521551439</v>
      </c>
      <c r="J14" s="70">
        <f>SUMIFS('0313 4度C'!$N:$N,'0313 4度C'!$A:$A,"新豐10線",'0313 4度C'!$B:$B,"平均")</f>
        <v>228.37836808492011</v>
      </c>
      <c r="K14" s="71">
        <f>SUMIFS('0313 4度C'!$N:$N,'0313 4度C'!$A:$A,"新豐8線",'0313 4度C'!$B:$B,"平均")</f>
        <v>124.827814387751</v>
      </c>
      <c r="L14" s="72">
        <f>SUMIFS('0313 4度C'!$N:$N,'0313 4度C'!$A:$A,"新豐9線",'0313 4度C'!$B:$B,"平均")</f>
        <v>133.67355618866466</v>
      </c>
      <c r="M14" s="70">
        <f>SUMIFS('0313 4度C'!$N:$N,'0313 4度C'!$A:$A,"新豐4線",'0313 4度C'!$B:$B,"平均")</f>
        <v>149.44999957881441</v>
      </c>
    </row>
    <row r="15" spans="2:17" ht="40.15" customHeight="1">
      <c r="B15" s="121"/>
      <c r="C15" s="73" t="s">
        <v>1168</v>
      </c>
      <c r="D15" s="74">
        <f t="shared" ref="D15:M15" si="0">D14/D13</f>
        <v>0.9537544178794144</v>
      </c>
      <c r="E15" s="75">
        <f t="shared" si="0"/>
        <v>0.95354287458040876</v>
      </c>
      <c r="F15" s="75">
        <f t="shared" si="0"/>
        <v>0.96395264998654928</v>
      </c>
      <c r="G15" s="75">
        <f t="shared" si="0"/>
        <v>0.9562198394025021</v>
      </c>
      <c r="H15" s="75">
        <f t="shared" si="0"/>
        <v>0.96205672057457803</v>
      </c>
      <c r="I15" s="75">
        <f t="shared" si="0"/>
        <v>0.94135796050027531</v>
      </c>
      <c r="J15" s="76">
        <f t="shared" si="0"/>
        <v>0.96159312877861103</v>
      </c>
      <c r="K15" s="74">
        <f t="shared" si="0"/>
        <v>0.9570132436394243</v>
      </c>
      <c r="L15" s="75">
        <f t="shared" si="0"/>
        <v>0.95613724218280982</v>
      </c>
      <c r="M15" s="76">
        <f t="shared" si="0"/>
        <v>0.95897083063072586</v>
      </c>
    </row>
    <row r="16" spans="2:17" ht="17.25" customHeight="1">
      <c r="B16" s="122" t="s">
        <v>1169</v>
      </c>
      <c r="C16" s="77" t="s">
        <v>1170</v>
      </c>
      <c r="D16" s="78">
        <f>VLOOKUP("新豐6線",'0313 4度C'!$A:$T,19,0)</f>
        <v>0.70833333333333337</v>
      </c>
      <c r="E16" s="79">
        <f>VLOOKUP("新豐2線",'0313 4度C'!$A:$T,19,0)</f>
        <v>0.20833333333333334</v>
      </c>
      <c r="F16" s="79">
        <f>VLOOKUP("新豐5線",'0313 4度C'!$A:$T,19,0)</f>
        <v>0.20833333333333334</v>
      </c>
      <c r="G16" s="79">
        <f>VLOOKUP("新豐7線",'0313 4度C'!$A:$T,19,0)</f>
        <v>0.20833333333333334</v>
      </c>
      <c r="H16" s="79">
        <f>VLOOKUP("新豐3線",'0313 4度C'!$A:$T,19,0)</f>
        <v>0.20833333333333334</v>
      </c>
      <c r="I16" s="79">
        <f>VLOOKUP("新豐1線",'0313 4度C'!$A:$T,19,0)</f>
        <v>0.20833333333333334</v>
      </c>
      <c r="J16" s="80">
        <f>VLOOKUP("新豐10線",'0313 4度C'!$A:$T,19,0)</f>
        <v>0.20833333333333334</v>
      </c>
      <c r="K16" s="81">
        <f>VLOOKUP("新豐8線",'0313 4度C'!$A:$T,19,0)</f>
        <v>0.125</v>
      </c>
      <c r="L16" s="82">
        <f>VLOOKUP("新豐9線",'0313 4度C'!$A:$T,19,0)</f>
        <v>0.125</v>
      </c>
      <c r="M16" s="83">
        <f>VLOOKUP("新豐4線",'0313 4度C'!$A:$T,19,0)</f>
        <v>0.125</v>
      </c>
    </row>
    <row r="17" spans="2:13" ht="17.25" customHeight="1">
      <c r="B17" s="123"/>
      <c r="C17" s="77" t="s">
        <v>1171</v>
      </c>
      <c r="D17" s="81">
        <f>LOOKUP(2,1/(('0313 4度C'!$A:$A="新豐6線")*('0313 4度C'!$T:$T&lt;&gt;"")),'0313 4度C'!$T:$T)</f>
        <v>0.8340277777777777</v>
      </c>
      <c r="E17" s="79">
        <f>LOOKUP(2,1/(('0313 4度C'!$A:$A="新豐2線")*('0313 4度C'!$T:$T&lt;&gt;"")),'0313 4度C'!$T:$T)</f>
        <v>0.47083333333333333</v>
      </c>
      <c r="F17" s="79">
        <f>LOOKUP(2,1/(('0313 4度C'!$A:$A="新豐5線")*('0313 4度C'!$T:$T&lt;&gt;"")),'0313 4度C'!$T:$T)</f>
        <v>0.82361111111111107</v>
      </c>
      <c r="G17" s="79">
        <f>LOOKUP(2,1/(('0313 4度C'!$A:$A="新豐7線")*('0313 4度C'!$T:$T&lt;&gt;"")),'0313 4度C'!$T:$T)</f>
        <v>0.83541666666666659</v>
      </c>
      <c r="H17" s="79">
        <f>LOOKUP(2,1/(('0313 4度C'!$A:$A="新豐3線")*('0313 4度C'!$T:$T&lt;&gt;"")),'0313 4度C'!$T:$T)</f>
        <v>0.58958333333333324</v>
      </c>
      <c r="I17" s="79">
        <f>LOOKUP(2,1/(('0313 4度C'!$A:$A="新豐1線")*('0313 4度C'!$T:$T&lt;&gt;"")),'0313 4度C'!$T:$T)</f>
        <v>0.84375</v>
      </c>
      <c r="J17" s="80">
        <f>LOOKUP(2,1/(('0313 4度C'!$A:$A="新豐10線")*('0313 4度C'!$T:$T&lt;&gt;"")),'0313 4度C'!$T:$T)</f>
        <v>0.4326388888888888</v>
      </c>
      <c r="K17" s="78">
        <f>LOOKUP(2,1/(('0313 4度C'!$A:$A="新豐8線")*('0313 4度C'!$T:$T&lt;&gt;"")),'0313 4度C'!$T:$T)</f>
        <v>0.49166666666666664</v>
      </c>
      <c r="L17" s="79">
        <f>LOOKUP(2,1/(('0313 4度C'!$A:$A="新豐9線")*('0313 4度C'!$T:$T&lt;&gt;"")),'0313 4度C'!$T:$T)</f>
        <v>0.57638888888888884</v>
      </c>
      <c r="M17" s="80">
        <f>LOOKUP(2,1/(('0313 4度C'!$A:$A="新豐4線")*('0313 4度C'!$T:$T&lt;&gt;"")),'0313 4度C'!$T:$T)</f>
        <v>0.50069444444444444</v>
      </c>
    </row>
    <row r="18" spans="2:13" ht="17.25" customHeight="1">
      <c r="B18" s="101" t="s">
        <v>1172</v>
      </c>
      <c r="C18" s="84" t="s">
        <v>1173</v>
      </c>
      <c r="D18" s="85">
        <f>SUMIFS('0313 4度C'!$Y:$Y,'0313 4度C'!$A:$A,"新豐6線",'0313 4度C'!$B:$B,"平均")</f>
        <v>0</v>
      </c>
      <c r="E18" s="86">
        <f>SUMIFS('0313 4度C'!$Y:$Y,'0313 4度C'!$A:$A,"新豐2線",'0313 4度C'!$B:$B,"平均")</f>
        <v>0</v>
      </c>
      <c r="F18" s="86">
        <f>SUMIFS('0313 4度C'!$Y:$Y,'0313 4度C'!$A:$A,"新豐5線",'0313 4度C'!$B:$B,"平均")</f>
        <v>0</v>
      </c>
      <c r="G18" s="86">
        <f>SUMIFS('0313 4度C'!$Y:$Y,'0313 4度C'!$A:$A,"新豐7線",'0313 4度C'!$B:$B,"平均")</f>
        <v>0</v>
      </c>
      <c r="H18" s="86">
        <f>SUMIFS('0313 4度C'!$Y:$Y,'0313 4度C'!$A:$A,"新豐3線",'0313 4度C'!$B:$B,"平均")</f>
        <v>0</v>
      </c>
      <c r="I18" s="86">
        <f>SUMIFS('0313 4度C'!$Y:$Y,'0313 4度C'!$A:$A,"新豐1線",'0313 4度C'!$B:$B,"平均")</f>
        <v>0</v>
      </c>
      <c r="J18" s="87">
        <f>SUMIFS('0313 4度C'!$Y:$Y,'0313 4度C'!$A:$A,"新豐10線",'0313 4度C'!$B:$B,"平均")</f>
        <v>0</v>
      </c>
      <c r="K18" s="88">
        <f>SUMIFS('0313 4度C'!$Y:$Y,'0313 4度C'!$A:$A,"新豐8線",'0313 4度C'!$B:$B,"平均")</f>
        <v>0</v>
      </c>
      <c r="L18" s="86">
        <f>SUMIFS('0313 4度C'!$Y:$Y,'0313 4度C'!$A:$A,"新豐9線",'0313 4度C'!$B:$B,"平均")</f>
        <v>0</v>
      </c>
      <c r="M18" s="87">
        <f>SUMIFS('0313 4度C'!$Y:$Y,'0313 4度C'!$A:$A,"新豐4線",'0313 4度C'!$B:$B,"平均")</f>
        <v>0</v>
      </c>
    </row>
    <row r="19" spans="2:13" ht="17.25" customHeight="1">
      <c r="B19" s="102"/>
      <c r="C19" s="84" t="s">
        <v>1174</v>
      </c>
      <c r="D19" s="85">
        <f>SUMIFS('0313 4度C'!$Z:$Z,'0313 4度C'!$A:$A,"新豐6線",'0313 4度C'!$B:$B,"平均")</f>
        <v>0</v>
      </c>
      <c r="E19" s="86">
        <f>SUMIFS('0313 4度C'!$Z:$Z,'0313 4度C'!$A:$A,"新豐2線",'0313 4度C'!$B:$B,"平均")</f>
        <v>0</v>
      </c>
      <c r="F19" s="86">
        <f>SUMIFS('0313 4度C'!$Z:$Z,'0313 4度C'!$A:$A,"新豐5線",'0313 4度C'!$B:$B,"平均")</f>
        <v>0</v>
      </c>
      <c r="G19" s="86">
        <f>SUMIFS('0313 4度C'!$Z:$Z,'0313 4度C'!$A:$A,"新豐7線",'0313 4度C'!$B:$B,"平均")</f>
        <v>0</v>
      </c>
      <c r="H19" s="86">
        <f>SUMIFS('0313 4度C'!$Z:$Z,'0313 4度C'!$A:$A,"新豐3線",'0313 4度C'!$B:$B,"平均")</f>
        <v>0</v>
      </c>
      <c r="I19" s="86">
        <f>SUMIFS('0313 4度C'!$Z:$Z,'0313 4度C'!$A:$A,"新豐1線",'0313 4度C'!$B:$B,"平均")</f>
        <v>0</v>
      </c>
      <c r="J19" s="87">
        <f>SUMIFS('0313 4度C'!$Z:$Z,'0313 4度C'!$A:$A,"新豐10線",'0313 4度C'!$B:$B,"平均")</f>
        <v>0</v>
      </c>
      <c r="K19" s="88">
        <f>SUMIFS('0313 4度C'!$Z:$Z,'0313 4度C'!$A:$A,"新豐8線",'0313 4度C'!$B:$B,"平均")</f>
        <v>0</v>
      </c>
      <c r="L19" s="86">
        <f>SUMIFS('0313 4度C'!$Z:$Z,'0313 4度C'!$A:$A,"新豐9線",'0313 4度C'!$B:$B,"平均")</f>
        <v>0</v>
      </c>
      <c r="M19" s="87">
        <f>SUMIFS('0313 4度C'!$Z:$Z,'0313 4度C'!$A:$A,"新豐4線",'0313 4度C'!$B:$B,"平均")</f>
        <v>0</v>
      </c>
    </row>
    <row r="20" spans="2:13" ht="17.25" customHeight="1">
      <c r="B20" s="101" t="s">
        <v>1175</v>
      </c>
      <c r="C20" s="84" t="s">
        <v>1176</v>
      </c>
      <c r="D20" s="85">
        <f>SUMIFS('0313 4度C'!$AC:$AC,'0313 4度C'!$A:$A,"新豐6線",'0313 4度C'!$B:$B,"平均")</f>
        <v>5</v>
      </c>
      <c r="E20" s="86">
        <f>SUMIFS('0313 4度C'!$AC:$AC,'0313 4度C'!$A:$A,"新豐2線",'0313 4度C'!$B:$B,"平均")</f>
        <v>2</v>
      </c>
      <c r="F20" s="86">
        <f>SUMIFS('0313 4度C'!$AC:$AC,'0313 4度C'!$A:$A,"新豐5線",'0313 4度C'!$B:$B,"平均")</f>
        <v>4</v>
      </c>
      <c r="G20" s="86">
        <f>SUMIFS('0313 4度C'!$AC:$AC,'0313 4度C'!$A:$A,"新豐7線",'0313 4度C'!$B:$B,"平均")</f>
        <v>5</v>
      </c>
      <c r="H20" s="86">
        <f>SUMIFS('0313 4度C'!$AC:$AC,'0313 4度C'!$A:$A,"新豐3線",'0313 4度C'!$B:$B,"平均")</f>
        <v>8</v>
      </c>
      <c r="I20" s="86">
        <f>SUMIFS('0313 4度C'!$AC:$AC,'0313 4度C'!$A:$A,"新豐1線",'0313 4度C'!$B:$B,"平均")</f>
        <v>8</v>
      </c>
      <c r="J20" s="87">
        <f>SUMIFS('0313 4度C'!$AC:$AC,'0313 4度C'!$A:$A,"新豐10線",'0313 4度C'!$B:$B,"平均")</f>
        <v>4</v>
      </c>
      <c r="K20" s="88">
        <f>SUMIFS('0313 4度C'!$AC:$AC,'0313 4度C'!$A:$A,"新豐8線",'0313 4度C'!$B:$B,"平均")</f>
        <v>5</v>
      </c>
      <c r="L20" s="86">
        <f>SUMIFS('0313 4度C'!$AC:$AC,'0313 4度C'!$A:$A,"新豐9線",'0313 4度C'!$B:$B,"平均")</f>
        <v>6</v>
      </c>
      <c r="M20" s="87">
        <f>SUMIFS('0313 4度C'!$AC:$AC,'0313 4度C'!$A:$A,"新豐4線",'0313 4度C'!$B:$B,"平均")</f>
        <v>5</v>
      </c>
    </row>
    <row r="21" spans="2:13" ht="17.25" customHeight="1">
      <c r="B21" s="102"/>
      <c r="C21" s="84" t="s">
        <v>1177</v>
      </c>
      <c r="D21" s="85">
        <f>SUMIFS('0313 4度C'!$AD:$AD,'0313 4度C'!$A:$A,"新豐6線",'0313 4度C'!$B:$B,"平均")</f>
        <v>0</v>
      </c>
      <c r="E21" s="86">
        <f>SUMIFS('0313 4度C'!$AD:$AD,'0313 4度C'!$A:$A,"新豐2線",'0313 4度C'!$B:$B,"平均")</f>
        <v>0</v>
      </c>
      <c r="F21" s="86">
        <f>SUMIFS('0313 4度C'!$AD:$AD,'0313 4度C'!$A:$A,"新豐5線",'0313 4度C'!$B:$B,"平均")</f>
        <v>0</v>
      </c>
      <c r="G21" s="86">
        <f>SUMIFS('0313 4度C'!$AD:$AD,'0313 4度C'!$A:$A,"新豐7線",'0313 4度C'!$B:$B,"平均")</f>
        <v>0</v>
      </c>
      <c r="H21" s="86">
        <f>SUMIFS('0313 4度C'!$AD:$AD,'0313 4度C'!$A:$A,"新豐3線",'0313 4度C'!$B:$B,"平均")</f>
        <v>0</v>
      </c>
      <c r="I21" s="86">
        <f>SUMIFS('0313 4度C'!$AD:$AD,'0313 4度C'!$A:$A,"新豐1線",'0313 4度C'!$B:$B,"平均")</f>
        <v>0</v>
      </c>
      <c r="J21" s="87">
        <f>SUMIFS('0313 4度C'!$AD:$AD,'0313 4度C'!$A:$A,"新豐10線",'0313 4度C'!$B:$B,"平均")</f>
        <v>0</v>
      </c>
      <c r="K21" s="88">
        <f>SUMIFS('0313 4度C'!$AD:$AD,'0313 4度C'!$A:$A,"新豐8線",'0313 4度C'!$B:$B,"平均")</f>
        <v>0</v>
      </c>
      <c r="L21" s="86">
        <f>SUMIFS('0313 4度C'!$AD:$AD,'0313 4度C'!$A:$A,"新豐9線",'0313 4度C'!$B:$B,"平均")</f>
        <v>0</v>
      </c>
      <c r="M21" s="87">
        <f>SUMIFS('0313 4度C'!$AD:$AD,'0313 4度C'!$A:$A,"新豐4線",'0313 4度C'!$B:$B,"平均")</f>
        <v>0</v>
      </c>
    </row>
    <row r="22" spans="2:13" ht="17.25" customHeight="1">
      <c r="B22" s="103" t="s">
        <v>1178</v>
      </c>
      <c r="C22" s="104"/>
      <c r="D22" s="89">
        <f>SUMIFS('0313 4度C'!$I:$I,'0313 4度C'!$A:$A,"新豐6線",'0313 4度C'!$B:$B,"平均")</f>
        <v>17.600000000000001</v>
      </c>
      <c r="E22" s="90">
        <f>SUMIFS('0313 4度C'!$I:$I,'0313 4度C'!$A:$A,"新豐2線",'0313 4度C'!$B:$B,"平均")</f>
        <v>18</v>
      </c>
      <c r="F22" s="90">
        <f>SUMIFS('0313 4度C'!$I:$I,'0313 4度C'!$A:$A,"新豐5線",'0313 4度C'!$B:$B,"平均")</f>
        <v>18.25</v>
      </c>
      <c r="G22" s="90">
        <f>SUMIFS('0313 4度C'!$I:$I,'0313 4度C'!$A:$A,"新豐7線",'0313 4度C'!$B:$B,"平均")</f>
        <v>14.8</v>
      </c>
      <c r="H22" s="90">
        <f>SUMIFS('0313 4度C'!$I:$I,'0313 4度C'!$A:$A,"新豐3線",'0313 4度C'!$B:$B,"平均")</f>
        <v>9.625</v>
      </c>
      <c r="I22" s="90">
        <f>SUMIFS('0313 4度C'!$I:$I,'0313 4度C'!$A:$A,"新豐1線",'0313 4度C'!$B:$B,"平均")</f>
        <v>18.875</v>
      </c>
      <c r="J22" s="91">
        <f>SUMIFS('0313 4度C'!$I:$I,'0313 4度C'!$A:$A,"新豐10線",'0313 4度C'!$B:$B,"平均")</f>
        <v>10</v>
      </c>
      <c r="K22" s="89">
        <f>SUMIFS('0313 4度C'!$I:$I,'0313 4度C'!$A:$A,"新豐8線",'0313 4度C'!$B:$B,"平均")</f>
        <v>18.399999999999999</v>
      </c>
      <c r="L22" s="90">
        <f>SUMIFS('0313 4度C'!$I:$I,'0313 4度C'!$A:$A,"新豐9線",'0313 4度C'!$B:$B,"平均")</f>
        <v>17.166666666666668</v>
      </c>
      <c r="M22" s="91">
        <f>SUMIFS('0313 4度C'!$I:$I,'0313 4度C'!$A:$A,"新豐4線",'0313 4度C'!$B:$B,"平均")</f>
        <v>15.4</v>
      </c>
    </row>
    <row r="23" spans="2:13" ht="17.25" customHeight="1">
      <c r="B23" s="103" t="s">
        <v>1179</v>
      </c>
      <c r="C23" s="104"/>
      <c r="D23" s="92" t="s">
        <v>185</v>
      </c>
      <c r="E23" s="93" t="s">
        <v>186</v>
      </c>
      <c r="F23" s="93" t="s">
        <v>1180</v>
      </c>
      <c r="G23" s="93" t="s">
        <v>1181</v>
      </c>
      <c r="H23" s="93" t="s">
        <v>188</v>
      </c>
      <c r="I23" s="93" t="s">
        <v>185</v>
      </c>
      <c r="J23" s="94" t="s">
        <v>188</v>
      </c>
      <c r="K23" s="92" t="s">
        <v>1182</v>
      </c>
      <c r="L23" s="93" t="s">
        <v>1183</v>
      </c>
      <c r="M23" s="94" t="s">
        <v>1183</v>
      </c>
    </row>
    <row r="24" spans="2:13" ht="17.25" customHeight="1">
      <c r="B24" s="103" t="s">
        <v>1184</v>
      </c>
      <c r="C24" s="104"/>
      <c r="D24" s="92"/>
      <c r="E24" s="93"/>
      <c r="F24" s="93" t="s">
        <v>1185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1186</v>
      </c>
      <c r="C25" s="106"/>
      <c r="D25" s="95"/>
      <c r="E25" s="96" t="s">
        <v>1187</v>
      </c>
      <c r="F25" s="99" t="s">
        <v>1188</v>
      </c>
      <c r="G25" s="100"/>
      <c r="H25" s="96" t="s">
        <v>1189</v>
      </c>
      <c r="I25" s="96" t="s">
        <v>1190</v>
      </c>
      <c r="J25" s="97" t="s">
        <v>1191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G67"/>
  <sheetViews>
    <sheetView zoomScale="80" zoomScaleNormal="80" workbookViewId="0">
      <pane ySplit="4" topLeftCell="A5" activePane="bottomLeft" state="frozen"/>
      <selection activeCell="G29" sqref="G29"/>
      <selection pane="bottomLeft" activeCell="G29" sqref="G2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1192</v>
      </c>
      <c r="D1" s="3">
        <f>SUM(F5:F66)</f>
        <v>131755</v>
      </c>
      <c r="E1" s="4" t="s">
        <v>1193</v>
      </c>
      <c r="F1" s="1">
        <f>SUM(G5:G66)</f>
        <v>4420673.870000002</v>
      </c>
      <c r="G1" s="1" t="s">
        <v>1194</v>
      </c>
      <c r="H1" s="5">
        <f>L10+L13+L46+L55+L18+L60+L30+L37+L24+L66</f>
        <v>158.11666666666667</v>
      </c>
      <c r="I1" s="212" t="s">
        <v>4</v>
      </c>
      <c r="J1" s="212"/>
      <c r="K1" s="212"/>
      <c r="L1" s="212" t="s">
        <v>1195</v>
      </c>
      <c r="M1" s="212"/>
      <c r="N1" s="212"/>
      <c r="O1" s="212" t="s">
        <v>1196</v>
      </c>
      <c r="P1" s="212"/>
      <c r="Q1" s="212"/>
      <c r="R1" s="212"/>
      <c r="S1" s="212" t="s">
        <v>1197</v>
      </c>
      <c r="T1" s="212"/>
      <c r="U1" s="212"/>
      <c r="V1" s="212"/>
      <c r="W1" s="212"/>
      <c r="X1" s="212"/>
      <c r="Y1" s="6" t="s">
        <v>8</v>
      </c>
      <c r="Z1" s="7" t="s">
        <v>9</v>
      </c>
      <c r="AA1" s="213" t="s">
        <v>1198</v>
      </c>
      <c r="AB1" s="213"/>
      <c r="AC1" s="42" t="s">
        <v>1199</v>
      </c>
      <c r="AD1" s="7" t="s">
        <v>1200</v>
      </c>
      <c r="AE1" s="212" t="s">
        <v>1201</v>
      </c>
      <c r="AF1" s="214"/>
      <c r="AG1" s="214"/>
    </row>
    <row r="2" spans="1:33" ht="26.25" customHeight="1">
      <c r="A2" s="33">
        <v>46094</v>
      </c>
      <c r="B2" s="34" t="s">
        <v>663</v>
      </c>
      <c r="C2" s="2" t="s">
        <v>1202</v>
      </c>
      <c r="D2" s="9">
        <f>AVERAGE(N10,N13,N46,N55,N18,N60,N24,N30,N37,N66)</f>
        <v>144.24583063296814</v>
      </c>
      <c r="E2" s="10" t="s">
        <v>14</v>
      </c>
      <c r="F2" s="11">
        <f>F1/D1</f>
        <v>33.552228530226571</v>
      </c>
      <c r="G2" s="1" t="s">
        <v>1203</v>
      </c>
      <c r="H2" s="12">
        <f>COUNT(H5:H66)</f>
        <v>3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SUM(Y10+Y13+Y18+Y24+Y30+Y37+Y46+Y55+Y60+Y66)</f>
        <v>0</v>
      </c>
      <c r="Z2" s="13">
        <f>SUM(Z10+Z13+Z18+Z24+Z30+Z37+Z46+Z55+Z60+Z66)</f>
        <v>0</v>
      </c>
      <c r="AA2" s="213"/>
      <c r="AB2" s="213"/>
      <c r="AC2" s="13">
        <v>52</v>
      </c>
      <c r="AD2" s="13">
        <f>SUM(AD10+AD13+AD18+AD24+AD30+AD37+AD46+AD55+AD60+AD66)</f>
        <v>0</v>
      </c>
      <c r="AE2" s="214"/>
      <c r="AF2" s="214"/>
      <c r="AG2" s="214"/>
    </row>
    <row r="3" spans="1:33" ht="40.5" customHeight="1">
      <c r="A3" s="162" t="s">
        <v>1204</v>
      </c>
      <c r="B3" s="162" t="s">
        <v>1205</v>
      </c>
      <c r="C3" s="162" t="s">
        <v>1206</v>
      </c>
      <c r="D3" s="162"/>
      <c r="E3" s="210" t="s">
        <v>1207</v>
      </c>
      <c r="F3" s="162" t="s">
        <v>1208</v>
      </c>
      <c r="G3" s="210" t="s">
        <v>1209</v>
      </c>
      <c r="H3" s="204" t="s">
        <v>1210</v>
      </c>
      <c r="I3" s="202" t="s">
        <v>1211</v>
      </c>
      <c r="J3" s="199" t="s">
        <v>1212</v>
      </c>
      <c r="K3" s="209" t="s">
        <v>13</v>
      </c>
      <c r="L3" s="202" t="s">
        <v>1211</v>
      </c>
      <c r="M3" s="199" t="s">
        <v>1213</v>
      </c>
      <c r="N3" s="209" t="s">
        <v>1214</v>
      </c>
      <c r="O3" s="202" t="s">
        <v>1211</v>
      </c>
      <c r="P3" s="209" t="s">
        <v>1202</v>
      </c>
      <c r="Q3" s="200" t="s">
        <v>1215</v>
      </c>
      <c r="R3" s="178" t="s">
        <v>1216</v>
      </c>
      <c r="S3" s="162" t="s">
        <v>27</v>
      </c>
      <c r="T3" s="162"/>
      <c r="U3" s="204" t="s">
        <v>28</v>
      </c>
      <c r="V3" s="204" t="s">
        <v>1217</v>
      </c>
      <c r="W3" s="162" t="s">
        <v>1218</v>
      </c>
      <c r="X3" s="162"/>
      <c r="Y3" s="205" t="s">
        <v>1219</v>
      </c>
      <c r="Z3" s="166"/>
      <c r="AA3" s="206" t="s">
        <v>1220</v>
      </c>
      <c r="AB3" s="207"/>
      <c r="AC3" s="205" t="s">
        <v>1221</v>
      </c>
      <c r="AD3" s="166"/>
      <c r="AE3" s="199" t="s">
        <v>1213</v>
      </c>
      <c r="AF3" s="200" t="s">
        <v>1222</v>
      </c>
      <c r="AG3" s="178" t="s">
        <v>36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1223</v>
      </c>
      <c r="X4" s="4" t="s">
        <v>1224</v>
      </c>
      <c r="Y4" s="14" t="s">
        <v>41</v>
      </c>
      <c r="Z4" s="14" t="s">
        <v>1225</v>
      </c>
      <c r="AA4" s="208"/>
      <c r="AB4" s="207"/>
      <c r="AC4" s="14" t="s">
        <v>1226</v>
      </c>
      <c r="AD4" s="14" t="s">
        <v>1227</v>
      </c>
      <c r="AE4" s="199"/>
      <c r="AF4" s="200"/>
      <c r="AG4" s="178"/>
    </row>
    <row r="5" spans="1:33">
      <c r="A5" s="201" t="s">
        <v>46</v>
      </c>
      <c r="B5" s="35" t="s">
        <v>78</v>
      </c>
      <c r="C5" s="203" t="s">
        <v>79</v>
      </c>
      <c r="D5" s="203"/>
      <c r="E5" s="35">
        <v>50.67</v>
      </c>
      <c r="F5" s="4">
        <v>1440</v>
      </c>
      <c r="G5" s="4">
        <f t="shared" ref="G5:G9" si="0">E5*F5</f>
        <v>72964.800000000003</v>
      </c>
      <c r="H5" s="21" t="s">
        <v>133</v>
      </c>
      <c r="I5" s="15">
        <v>17</v>
      </c>
      <c r="J5" s="17">
        <v>2000</v>
      </c>
      <c r="K5" s="16">
        <f t="shared" ref="K5:K66" si="1">J5/I5</f>
        <v>117.64705882352941</v>
      </c>
      <c r="L5" s="15">
        <v>17</v>
      </c>
      <c r="M5" s="17">
        <f t="shared" ref="M5:M9" si="2">F5/V5*60</f>
        <v>1920</v>
      </c>
      <c r="N5" s="16">
        <f t="shared" ref="N5:N66" si="3">M5/L5</f>
        <v>112.94117647058823</v>
      </c>
      <c r="O5" s="18">
        <f t="shared" ref="O5:O66" si="4">L5-I5</f>
        <v>0</v>
      </c>
      <c r="P5" s="19">
        <f t="shared" ref="P5:P66" si="5">N5-K5</f>
        <v>-4.705882352941174</v>
      </c>
      <c r="Q5" s="20">
        <f t="shared" ref="Q5:Q66" si="6">N5/K5</f>
        <v>0.96</v>
      </c>
      <c r="R5" s="170">
        <f>Q10</f>
        <v>0.9537544178794144</v>
      </c>
      <c r="S5" s="27">
        <v>0.70833333333333337</v>
      </c>
      <c r="T5" s="27">
        <v>0.73958333333333337</v>
      </c>
      <c r="U5" s="4"/>
      <c r="V5" s="21">
        <f t="shared" ref="V5:V9" si="7">(T5-S5)*24*60</f>
        <v>45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54" si="8">M5-J5</f>
        <v>-80</v>
      </c>
      <c r="AF5" s="20">
        <f t="shared" ref="AF5:AF66" si="9">M5/J5</f>
        <v>0.96</v>
      </c>
      <c r="AG5" s="170">
        <f>AF10</f>
        <v>0.9537544178794144</v>
      </c>
    </row>
    <row r="6" spans="1:33">
      <c r="A6" s="202" t="s">
        <v>1228</v>
      </c>
      <c r="B6" s="35" t="s">
        <v>78</v>
      </c>
      <c r="C6" s="203" t="s">
        <v>80</v>
      </c>
      <c r="D6" s="203"/>
      <c r="E6" s="35">
        <v>54.09</v>
      </c>
      <c r="F6" s="4">
        <v>1188</v>
      </c>
      <c r="G6" s="4">
        <f t="shared" si="0"/>
        <v>64258.920000000006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1926.4864864864851</v>
      </c>
      <c r="N6" s="16">
        <f t="shared" si="3"/>
        <v>101.39402560455184</v>
      </c>
      <c r="O6" s="18">
        <f t="shared" si="4"/>
        <v>0</v>
      </c>
      <c r="P6" s="19">
        <f t="shared" si="5"/>
        <v>-3.8691322901849929</v>
      </c>
      <c r="Q6" s="20">
        <f t="shared" si="6"/>
        <v>0.96324324324324262</v>
      </c>
      <c r="R6" s="170"/>
      <c r="S6" s="27">
        <v>0.74444444444444446</v>
      </c>
      <c r="T6" s="27">
        <v>0.77013888888888893</v>
      </c>
      <c r="U6" s="4">
        <f t="shared" ref="U6:U9" si="10">IF(S6=TIME(17,0,0),"",(S6-T5)*24*60)</f>
        <v>6.9999999999999751</v>
      </c>
      <c r="V6" s="21">
        <f t="shared" si="7"/>
        <v>37.000000000000028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-73.513513513514908</v>
      </c>
      <c r="AF6" s="20">
        <f t="shared" si="9"/>
        <v>0.96324324324324251</v>
      </c>
      <c r="AG6" s="170"/>
    </row>
    <row r="7" spans="1:33">
      <c r="A7" s="202" t="s">
        <v>1229</v>
      </c>
      <c r="B7" s="35" t="s">
        <v>78</v>
      </c>
      <c r="C7" s="197" t="s">
        <v>81</v>
      </c>
      <c r="D7" s="198"/>
      <c r="E7" s="35">
        <v>50.29</v>
      </c>
      <c r="F7" s="4">
        <v>402</v>
      </c>
      <c r="G7" s="4">
        <f t="shared" si="0"/>
        <v>20216.579999999998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1855.3846153845991</v>
      </c>
      <c r="N7" s="16">
        <f t="shared" si="3"/>
        <v>115.96153846153744</v>
      </c>
      <c r="O7" s="18">
        <f t="shared" si="4"/>
        <v>0</v>
      </c>
      <c r="P7" s="19">
        <f t="shared" si="5"/>
        <v>-9.0384615384625562</v>
      </c>
      <c r="Q7" s="20">
        <f t="shared" si="6"/>
        <v>0.9276923076922996</v>
      </c>
      <c r="R7" s="170"/>
      <c r="S7" s="27">
        <v>0.77361111111111114</v>
      </c>
      <c r="T7" s="27">
        <v>0.78263888888888899</v>
      </c>
      <c r="U7" s="4">
        <f t="shared" si="10"/>
        <v>4.9999999999999822</v>
      </c>
      <c r="V7" s="21">
        <f t="shared" si="7"/>
        <v>13.000000000000114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-144.6153846154009</v>
      </c>
      <c r="AF7" s="20">
        <f t="shared" si="9"/>
        <v>0.9276923076922996</v>
      </c>
      <c r="AG7" s="170"/>
    </row>
    <row r="8" spans="1:33">
      <c r="A8" s="202" t="s">
        <v>1230</v>
      </c>
      <c r="B8" s="35" t="s">
        <v>78</v>
      </c>
      <c r="C8" s="197" t="s">
        <v>82</v>
      </c>
      <c r="D8" s="198"/>
      <c r="E8" s="35">
        <v>50.67</v>
      </c>
      <c r="F8" s="4">
        <v>411</v>
      </c>
      <c r="G8" s="4">
        <f t="shared" si="0"/>
        <v>20825.37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1896.9230769230603</v>
      </c>
      <c r="N8" s="16">
        <f t="shared" si="3"/>
        <v>90.32967032966954</v>
      </c>
      <c r="O8" s="18">
        <f t="shared" si="4"/>
        <v>0</v>
      </c>
      <c r="P8" s="19">
        <f t="shared" si="5"/>
        <v>-4.908424908425701</v>
      </c>
      <c r="Q8" s="20">
        <f t="shared" si="6"/>
        <v>0.94846153846153014</v>
      </c>
      <c r="R8" s="170"/>
      <c r="S8" s="27">
        <v>0.78680555555555554</v>
      </c>
      <c r="T8" s="27">
        <v>0.79583333333333339</v>
      </c>
      <c r="U8" s="4">
        <f t="shared" si="10"/>
        <v>5.9999999999998188</v>
      </c>
      <c r="V8" s="21">
        <f t="shared" si="7"/>
        <v>13.000000000000114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-103.07692307693969</v>
      </c>
      <c r="AF8" s="20">
        <f t="shared" si="9"/>
        <v>0.94846153846153014</v>
      </c>
      <c r="AG8" s="170"/>
    </row>
    <row r="9" spans="1:33">
      <c r="A9" s="202" t="s">
        <v>1228</v>
      </c>
      <c r="B9" s="35" t="s">
        <v>78</v>
      </c>
      <c r="C9" s="197" t="s">
        <v>91</v>
      </c>
      <c r="D9" s="198"/>
      <c r="E9" s="35">
        <v>50.67</v>
      </c>
      <c r="F9" s="4">
        <v>1551</v>
      </c>
      <c r="G9" s="4">
        <f t="shared" si="0"/>
        <v>78589.17</v>
      </c>
      <c r="H9" s="21" t="s">
        <v>133</v>
      </c>
      <c r="I9" s="15">
        <v>15</v>
      </c>
      <c r="J9" s="17">
        <v>2000</v>
      </c>
      <c r="K9" s="16">
        <f t="shared" si="1"/>
        <v>133.33333333333334</v>
      </c>
      <c r="L9" s="15">
        <v>15</v>
      </c>
      <c r="M9" s="17">
        <f t="shared" si="2"/>
        <v>1938.7500000000005</v>
      </c>
      <c r="N9" s="16">
        <f t="shared" si="3"/>
        <v>129.25000000000003</v>
      </c>
      <c r="O9" s="18">
        <f t="shared" si="4"/>
        <v>0</v>
      </c>
      <c r="P9" s="19">
        <f t="shared" si="5"/>
        <v>-4.0833333333333144</v>
      </c>
      <c r="Q9" s="20">
        <f t="shared" si="6"/>
        <v>0.9693750000000001</v>
      </c>
      <c r="R9" s="170"/>
      <c r="S9" s="27">
        <v>0.80069444444444438</v>
      </c>
      <c r="T9" s="27">
        <v>0.8340277777777777</v>
      </c>
      <c r="U9" s="4">
        <f t="shared" si="10"/>
        <v>6.9999999999998153</v>
      </c>
      <c r="V9" s="21">
        <f t="shared" si="7"/>
        <v>47.999999999999986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-61.249999999999545</v>
      </c>
      <c r="AF9" s="20">
        <f t="shared" si="9"/>
        <v>0.96937500000000021</v>
      </c>
      <c r="AG9" s="170"/>
    </row>
    <row r="10" spans="1:33">
      <c r="A10" s="202" t="s">
        <v>1231</v>
      </c>
      <c r="B10" s="35" t="s">
        <v>1232</v>
      </c>
      <c r="C10" s="171"/>
      <c r="D10" s="171"/>
      <c r="E10" s="36"/>
      <c r="F10" s="16"/>
      <c r="G10" s="16"/>
      <c r="H10" s="4"/>
      <c r="I10" s="29">
        <v>17.600000000000001</v>
      </c>
      <c r="J10" s="17">
        <v>2000</v>
      </c>
      <c r="K10" s="16">
        <f t="shared" si="1"/>
        <v>113.63636363636363</v>
      </c>
      <c r="L10" s="29">
        <v>17.600000000000001</v>
      </c>
      <c r="M10" s="17">
        <f>AVERAGE(M5:M9)</f>
        <v>1907.5088357588288</v>
      </c>
      <c r="N10" s="16">
        <f t="shared" si="3"/>
        <v>108.38118384993345</v>
      </c>
      <c r="O10" s="18">
        <f t="shared" si="4"/>
        <v>0</v>
      </c>
      <c r="P10" s="19">
        <f t="shared" si="5"/>
        <v>-5.2551797864301761</v>
      </c>
      <c r="Q10" s="20">
        <f t="shared" si="6"/>
        <v>0.9537544178794144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-92.491164241171191</v>
      </c>
      <c r="AF10" s="20">
        <f t="shared" si="9"/>
        <v>0.9537544178794144</v>
      </c>
      <c r="AG10" s="170"/>
    </row>
    <row r="11" spans="1:33" ht="15.75" customHeight="1">
      <c r="A11" s="196" t="s">
        <v>1233</v>
      </c>
      <c r="B11" s="35" t="s">
        <v>84</v>
      </c>
      <c r="C11" s="197" t="s">
        <v>85</v>
      </c>
      <c r="D11" s="198"/>
      <c r="E11" s="35">
        <v>39.619999999999997</v>
      </c>
      <c r="F11" s="4">
        <v>3455</v>
      </c>
      <c r="G11" s="4">
        <f t="shared" ref="G11:G12" si="11">E11*F11</f>
        <v>136887.09999999998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1429.6551724137928</v>
      </c>
      <c r="N11" s="16">
        <f t="shared" si="3"/>
        <v>75.245009074410149</v>
      </c>
      <c r="O11" s="18">
        <f t="shared" si="4"/>
        <v>0</v>
      </c>
      <c r="P11" s="19">
        <f t="shared" si="5"/>
        <v>-3.7023593466424813</v>
      </c>
      <c r="Q11" s="20">
        <f t="shared" si="6"/>
        <v>0.95310344827586191</v>
      </c>
      <c r="R11" s="170">
        <f>Q13</f>
        <v>0.95354287458040876</v>
      </c>
      <c r="S11" s="27">
        <v>0.20833333333333334</v>
      </c>
      <c r="T11" s="27">
        <v>0.30902777777777779</v>
      </c>
      <c r="U11" s="4"/>
      <c r="V11" s="21">
        <f t="shared" ref="V11:V12" si="13">(T11-S11)*24*60</f>
        <v>145.00000000000003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-70.344827586207202</v>
      </c>
      <c r="AF11" s="20">
        <f t="shared" si="9"/>
        <v>0.95310344827586191</v>
      </c>
      <c r="AG11" s="170">
        <f>AF13</f>
        <v>0.95354287458040876</v>
      </c>
    </row>
    <row r="12" spans="1:33" ht="15.75" customHeight="1">
      <c r="A12" s="196" t="s">
        <v>1234</v>
      </c>
      <c r="B12" s="35" t="s">
        <v>84</v>
      </c>
      <c r="C12" s="197" t="s">
        <v>86</v>
      </c>
      <c r="D12" s="198"/>
      <c r="E12" s="35">
        <v>39.799999999999997</v>
      </c>
      <c r="F12" s="4">
        <v>5390</v>
      </c>
      <c r="G12" s="4">
        <f t="shared" si="11"/>
        <v>214521.99999999997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1430.9734513274336</v>
      </c>
      <c r="N12" s="16">
        <f t="shared" si="3"/>
        <v>84.174908901613748</v>
      </c>
      <c r="O12" s="18">
        <f t="shared" si="4"/>
        <v>0</v>
      </c>
      <c r="P12" s="19">
        <f t="shared" si="5"/>
        <v>-4.0603852160333105</v>
      </c>
      <c r="Q12" s="20">
        <f t="shared" si="6"/>
        <v>0.95398230088495584</v>
      </c>
      <c r="R12" s="170"/>
      <c r="S12" s="27">
        <v>0.31388888888888888</v>
      </c>
      <c r="T12" s="27">
        <v>0.47083333333333333</v>
      </c>
      <c r="U12" s="4">
        <f t="shared" ref="U12" si="14">IF(S12=TIME(17,0,0),"",(S12-T11)*24*60)</f>
        <v>6.9999999999999751</v>
      </c>
      <c r="V12" s="21">
        <f t="shared" si="13"/>
        <v>226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-69.026548672566378</v>
      </c>
      <c r="AF12" s="20">
        <f t="shared" si="9"/>
        <v>0.95398230088495573</v>
      </c>
      <c r="AG12" s="170"/>
    </row>
    <row r="13" spans="1:33" ht="16.5" customHeight="1">
      <c r="A13" s="196" t="s">
        <v>1234</v>
      </c>
      <c r="B13" s="35" t="s">
        <v>1232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1430.3143118706132</v>
      </c>
      <c r="N13" s="16">
        <f t="shared" si="3"/>
        <v>79.461906215034062</v>
      </c>
      <c r="O13" s="18">
        <f t="shared" si="4"/>
        <v>0</v>
      </c>
      <c r="P13" s="19">
        <f t="shared" si="5"/>
        <v>-3.8714271182992661</v>
      </c>
      <c r="Q13" s="20">
        <f t="shared" si="6"/>
        <v>0.95354287458040876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v>2</v>
      </c>
      <c r="AD13" s="30">
        <f>SUM(AD11:AD12)</f>
        <v>0</v>
      </c>
      <c r="AE13" s="18">
        <f t="shared" si="8"/>
        <v>-69.68568812938679</v>
      </c>
      <c r="AF13" s="20">
        <f t="shared" si="9"/>
        <v>0.95354287458040876</v>
      </c>
      <c r="AG13" s="170"/>
    </row>
    <row r="14" spans="1:33" ht="16.5" customHeight="1">
      <c r="A14" s="194" t="s">
        <v>50</v>
      </c>
      <c r="B14" s="4" t="s">
        <v>87</v>
      </c>
      <c r="C14" s="190" t="s">
        <v>88</v>
      </c>
      <c r="D14" s="190"/>
      <c r="E14" s="35">
        <v>41</v>
      </c>
      <c r="F14" s="4">
        <v>2821</v>
      </c>
      <c r="G14" s="4">
        <f t="shared" ref="G14:G17" si="15">E14*F14</f>
        <v>115661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1434.4067796610166</v>
      </c>
      <c r="N14" s="16">
        <f t="shared" si="3"/>
        <v>55.169491525423716</v>
      </c>
      <c r="O14" s="18">
        <f t="shared" si="4"/>
        <v>0</v>
      </c>
      <c r="P14" s="19">
        <f t="shared" si="5"/>
        <v>-2.5228161668839775</v>
      </c>
      <c r="Q14" s="20">
        <f t="shared" si="6"/>
        <v>0.95627118644067777</v>
      </c>
      <c r="R14" s="170">
        <f>Q18</f>
        <v>0.96395264998654928</v>
      </c>
      <c r="S14" s="27">
        <v>0.20833333333333334</v>
      </c>
      <c r="T14" s="27">
        <v>0.2902777777777778</v>
      </c>
      <c r="U14" s="4"/>
      <c r="V14" s="21">
        <f t="shared" ref="V14:V17" si="17">(T14-S14)*24*60</f>
        <v>118.00000000000001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-65.593220338983429</v>
      </c>
      <c r="AF14" s="20">
        <f t="shared" si="9"/>
        <v>0.95627118644067777</v>
      </c>
      <c r="AG14" s="170">
        <f>AF18</f>
        <v>0.96395264998654917</v>
      </c>
    </row>
    <row r="15" spans="1:33" ht="16.5" customHeight="1">
      <c r="A15" s="195" t="s">
        <v>1235</v>
      </c>
      <c r="B15" s="4" t="s">
        <v>78</v>
      </c>
      <c r="C15" s="190" t="s">
        <v>89</v>
      </c>
      <c r="D15" s="190"/>
      <c r="E15" s="35">
        <v>50.98</v>
      </c>
      <c r="F15" s="4">
        <v>2224</v>
      </c>
      <c r="G15" s="4">
        <f t="shared" si="15"/>
        <v>113379.51999999999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1906.2857142857124</v>
      </c>
      <c r="N15" s="16">
        <f t="shared" si="3"/>
        <v>119.14285714285703</v>
      </c>
      <c r="O15" s="18">
        <f t="shared" si="4"/>
        <v>0</v>
      </c>
      <c r="P15" s="19">
        <f t="shared" si="5"/>
        <v>-5.8571428571429749</v>
      </c>
      <c r="Q15" s="20">
        <f t="shared" si="6"/>
        <v>0.95314285714285618</v>
      </c>
      <c r="R15" s="170"/>
      <c r="S15" s="27">
        <v>0.70833333333333337</v>
      </c>
      <c r="T15" s="27">
        <v>0.75694444444444453</v>
      </c>
      <c r="U15" s="4" t="str">
        <f t="shared" ref="U15:U17" si="18">IF(S15=TIME(17,0,0),"",(S15-T14)*24*60)</f>
        <v/>
      </c>
      <c r="V15" s="21">
        <f t="shared" si="17"/>
        <v>70.000000000000071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-93.714285714287598</v>
      </c>
      <c r="AF15" s="20">
        <f t="shared" si="9"/>
        <v>0.95314285714285618</v>
      </c>
      <c r="AG15" s="170"/>
    </row>
    <row r="16" spans="1:33" ht="16.5" customHeight="1">
      <c r="A16" s="195" t="s">
        <v>1236</v>
      </c>
      <c r="B16" s="4" t="s">
        <v>78</v>
      </c>
      <c r="C16" s="190" t="s">
        <v>90</v>
      </c>
      <c r="D16" s="190"/>
      <c r="E16" s="35">
        <v>50.92</v>
      </c>
      <c r="F16" s="4">
        <v>2017</v>
      </c>
      <c r="G16" s="4">
        <f t="shared" si="15"/>
        <v>102705.64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1920.9523809523828</v>
      </c>
      <c r="N16" s="16">
        <f t="shared" si="3"/>
        <v>128.06349206349219</v>
      </c>
      <c r="O16" s="18">
        <f t="shared" si="4"/>
        <v>0</v>
      </c>
      <c r="P16" s="19">
        <f t="shared" si="5"/>
        <v>-5.2698412698411516</v>
      </c>
      <c r="Q16" s="20">
        <f t="shared" si="6"/>
        <v>0.96047619047619137</v>
      </c>
      <c r="R16" s="170"/>
      <c r="S16" s="27">
        <v>0.76180555555555562</v>
      </c>
      <c r="T16" s="27">
        <v>0.80555555555555558</v>
      </c>
      <c r="U16" s="4">
        <f t="shared" si="18"/>
        <v>6.9999999999999751</v>
      </c>
      <c r="V16" s="21">
        <f t="shared" si="17"/>
        <v>62.999999999999936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-79.047619047617218</v>
      </c>
      <c r="AF16" s="20">
        <f t="shared" si="9"/>
        <v>0.96047619047619137</v>
      </c>
      <c r="AG16" s="170"/>
    </row>
    <row r="17" spans="1:33" ht="16.5" customHeight="1">
      <c r="A17" s="195" t="s">
        <v>1237</v>
      </c>
      <c r="B17" s="4" t="s">
        <v>78</v>
      </c>
      <c r="C17" s="190" t="s">
        <v>83</v>
      </c>
      <c r="D17" s="190"/>
      <c r="E17" s="35">
        <v>50.67</v>
      </c>
      <c r="F17" s="4">
        <v>656</v>
      </c>
      <c r="G17" s="4">
        <f t="shared" si="15"/>
        <v>33239.520000000004</v>
      </c>
      <c r="H17" s="21" t="s">
        <v>133</v>
      </c>
      <c r="I17" s="15">
        <v>16</v>
      </c>
      <c r="J17" s="17">
        <v>2000</v>
      </c>
      <c r="K17" s="16">
        <f t="shared" si="1"/>
        <v>125</v>
      </c>
      <c r="L17" s="15">
        <v>16</v>
      </c>
      <c r="M17" s="17">
        <f t="shared" si="16"/>
        <v>1968.000000000007</v>
      </c>
      <c r="N17" s="16">
        <f t="shared" si="3"/>
        <v>123.00000000000044</v>
      </c>
      <c r="O17" s="18">
        <f t="shared" si="4"/>
        <v>0</v>
      </c>
      <c r="P17" s="19">
        <f t="shared" si="5"/>
        <v>-1.9999999999995595</v>
      </c>
      <c r="Q17" s="20">
        <f t="shared" si="6"/>
        <v>0.98400000000000354</v>
      </c>
      <c r="R17" s="170"/>
      <c r="S17" s="27">
        <v>0.80972222222222223</v>
      </c>
      <c r="T17" s="27">
        <v>0.82361111111111107</v>
      </c>
      <c r="U17" s="4">
        <f t="shared" si="18"/>
        <v>5.9999999999999787</v>
      </c>
      <c r="V17" s="21">
        <f t="shared" si="17"/>
        <v>19.999999999999929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-31.999999999992951</v>
      </c>
      <c r="AF17" s="20">
        <f t="shared" si="9"/>
        <v>0.98400000000000354</v>
      </c>
      <c r="AG17" s="170"/>
    </row>
    <row r="18" spans="1:33" ht="16.5" customHeight="1">
      <c r="A18" s="195" t="s">
        <v>1238</v>
      </c>
      <c r="B18" s="35" t="s">
        <v>1239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1807.4112187247797</v>
      </c>
      <c r="N18" s="16">
        <f t="shared" si="3"/>
        <v>99.036231163001631</v>
      </c>
      <c r="O18" s="18">
        <f t="shared" si="4"/>
        <v>0</v>
      </c>
      <c r="P18" s="19">
        <f t="shared" si="5"/>
        <v>-3.7034948643956227</v>
      </c>
      <c r="Q18" s="20">
        <f t="shared" si="6"/>
        <v>0.96395264998654928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-67.588781275220299</v>
      </c>
      <c r="AF18" s="20">
        <f t="shared" si="9"/>
        <v>0.96395264998654917</v>
      </c>
      <c r="AG18" s="170"/>
    </row>
    <row r="19" spans="1:33" ht="15.75" customHeight="1">
      <c r="A19" s="192" t="s">
        <v>1240</v>
      </c>
      <c r="B19" s="35" t="s">
        <v>78</v>
      </c>
      <c r="C19" s="190" t="s">
        <v>92</v>
      </c>
      <c r="D19" s="190"/>
      <c r="E19" s="35">
        <v>57.73</v>
      </c>
      <c r="F19" s="4">
        <v>2369</v>
      </c>
      <c r="G19" s="4">
        <f t="shared" ref="G19:G23" si="19">E19*F19</f>
        <v>136762.37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3" si="20">F19/V19*60</f>
        <v>1920.8108108108106</v>
      </c>
      <c r="N19" s="16">
        <f t="shared" si="3"/>
        <v>137.20077220077218</v>
      </c>
      <c r="O19" s="18">
        <f t="shared" si="4"/>
        <v>0</v>
      </c>
      <c r="P19" s="19">
        <f t="shared" si="5"/>
        <v>-5.656370656370683</v>
      </c>
      <c r="Q19" s="20">
        <f t="shared" si="6"/>
        <v>0.9604054054054052</v>
      </c>
      <c r="R19" s="170">
        <f>Q24</f>
        <v>0.9562198394025021</v>
      </c>
      <c r="S19" s="27">
        <v>0.20833333333333334</v>
      </c>
      <c r="T19" s="27">
        <v>0.25972222222222224</v>
      </c>
      <c r="U19" s="4"/>
      <c r="V19" s="21">
        <f t="shared" ref="V19:V23" si="21">(T19-S19)*24*60</f>
        <v>74.000000000000014</v>
      </c>
      <c r="W19" s="27"/>
      <c r="X19" s="27"/>
      <c r="Y19" s="27"/>
      <c r="Z19" s="27"/>
      <c r="AA19" s="162"/>
      <c r="AB19" s="162"/>
      <c r="AC19" s="24">
        <v>5</v>
      </c>
      <c r="AD19" s="24"/>
      <c r="AE19" s="18">
        <f t="shared" si="8"/>
        <v>-79.189189189189392</v>
      </c>
      <c r="AF19" s="20">
        <f t="shared" si="9"/>
        <v>0.96040540540540531</v>
      </c>
      <c r="AG19" s="170">
        <f>AF24</f>
        <v>0.95621983940250221</v>
      </c>
    </row>
    <row r="20" spans="1:33" ht="15.75" customHeight="1">
      <c r="A20" s="193" t="s">
        <v>52</v>
      </c>
      <c r="B20" s="35" t="s">
        <v>78</v>
      </c>
      <c r="C20" s="190" t="s">
        <v>93</v>
      </c>
      <c r="D20" s="190"/>
      <c r="E20" s="35">
        <v>53.68</v>
      </c>
      <c r="F20" s="4">
        <v>1247</v>
      </c>
      <c r="G20" s="4">
        <f t="shared" si="19"/>
        <v>66938.960000000006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1918.4615384615374</v>
      </c>
      <c r="N20" s="16">
        <f t="shared" si="3"/>
        <v>119.90384615384609</v>
      </c>
      <c r="O20" s="18">
        <f t="shared" si="4"/>
        <v>0</v>
      </c>
      <c r="P20" s="19">
        <f t="shared" si="5"/>
        <v>-5.0961538461539106</v>
      </c>
      <c r="Q20" s="20">
        <f t="shared" si="6"/>
        <v>0.95923076923076867</v>
      </c>
      <c r="R20" s="170"/>
      <c r="S20" s="27">
        <v>0.26319444444444445</v>
      </c>
      <c r="T20" s="27">
        <v>0.2902777777777778</v>
      </c>
      <c r="U20" s="4">
        <f t="shared" ref="U20:U23" si="22">IF(S20=TIME(17,0,0),"",(S20-T19)*24*60)</f>
        <v>4.9999999999999822</v>
      </c>
      <c r="V20" s="21">
        <f t="shared" si="21"/>
        <v>39.000000000000021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-81.53846153846257</v>
      </c>
      <c r="AF20" s="20">
        <f t="shared" si="9"/>
        <v>0.95923076923076867</v>
      </c>
      <c r="AG20" s="170"/>
    </row>
    <row r="21" spans="1:33" ht="15.75" customHeight="1">
      <c r="A21" s="193" t="s">
        <v>52</v>
      </c>
      <c r="B21" s="35" t="s">
        <v>78</v>
      </c>
      <c r="C21" s="190" t="s">
        <v>94</v>
      </c>
      <c r="D21" s="190"/>
      <c r="E21" s="35">
        <v>50.49</v>
      </c>
      <c r="F21" s="4">
        <v>1753</v>
      </c>
      <c r="G21" s="4">
        <f t="shared" si="19"/>
        <v>88508.97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1912.3636363636376</v>
      </c>
      <c r="N21" s="16">
        <f t="shared" si="3"/>
        <v>127.49090909090917</v>
      </c>
      <c r="O21" s="18">
        <f t="shared" si="4"/>
        <v>0</v>
      </c>
      <c r="P21" s="19">
        <f t="shared" si="5"/>
        <v>-5.8424242424241726</v>
      </c>
      <c r="Q21" s="20">
        <f t="shared" si="6"/>
        <v>0.95618181818181869</v>
      </c>
      <c r="R21" s="170"/>
      <c r="S21" s="27">
        <v>0.70833333333333337</v>
      </c>
      <c r="T21" s="27">
        <v>0.74652777777777779</v>
      </c>
      <c r="U21" s="4" t="str">
        <f t="shared" si="22"/>
        <v/>
      </c>
      <c r="V21" s="21">
        <f t="shared" si="21"/>
        <v>54.999999999999964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-87.636363636362375</v>
      </c>
      <c r="AF21" s="20">
        <f t="shared" si="9"/>
        <v>0.9561818181818188</v>
      </c>
      <c r="AG21" s="170"/>
    </row>
    <row r="22" spans="1:33" ht="15.75" customHeight="1">
      <c r="A22" s="193" t="s">
        <v>1241</v>
      </c>
      <c r="B22" s="35" t="s">
        <v>78</v>
      </c>
      <c r="C22" s="190" t="s">
        <v>96</v>
      </c>
      <c r="D22" s="190"/>
      <c r="E22" s="35">
        <v>57.3</v>
      </c>
      <c r="F22" s="4">
        <v>1618</v>
      </c>
      <c r="G22" s="4">
        <f t="shared" si="19"/>
        <v>92711.4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1903.5294117647065</v>
      </c>
      <c r="N22" s="16">
        <f t="shared" si="3"/>
        <v>146.42533936651589</v>
      </c>
      <c r="O22" s="18">
        <f t="shared" si="4"/>
        <v>0</v>
      </c>
      <c r="P22" s="19">
        <f t="shared" si="5"/>
        <v>-7.4208144796379543</v>
      </c>
      <c r="Q22" s="20">
        <f t="shared" si="6"/>
        <v>0.95176470588235329</v>
      </c>
      <c r="R22" s="170"/>
      <c r="S22" s="27">
        <v>0.75069444444444444</v>
      </c>
      <c r="T22" s="27">
        <v>0.78611111111111109</v>
      </c>
      <c r="U22" s="4">
        <f t="shared" si="22"/>
        <v>5.9999999999999787</v>
      </c>
      <c r="V22" s="21">
        <f t="shared" si="21"/>
        <v>50.999999999999979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-96.470588235293462</v>
      </c>
      <c r="AF22" s="20">
        <f t="shared" si="9"/>
        <v>0.95176470588235329</v>
      </c>
      <c r="AG22" s="170"/>
    </row>
    <row r="23" spans="1:33" ht="15.75" customHeight="1">
      <c r="A23" s="193" t="s">
        <v>1241</v>
      </c>
      <c r="B23" s="35" t="s">
        <v>78</v>
      </c>
      <c r="C23" s="190" t="s">
        <v>95</v>
      </c>
      <c r="D23" s="190"/>
      <c r="E23" s="35">
        <v>53.68</v>
      </c>
      <c r="F23" s="4">
        <v>1548</v>
      </c>
      <c r="G23" s="4">
        <f t="shared" si="19"/>
        <v>83096.639999999999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1428.9230769230785</v>
      </c>
      <c r="N23" s="16">
        <f t="shared" si="3"/>
        <v>89.307692307692406</v>
      </c>
      <c r="O23" s="18">
        <f t="shared" si="4"/>
        <v>0</v>
      </c>
      <c r="P23" s="19">
        <f t="shared" si="5"/>
        <v>-4.4423076923075939</v>
      </c>
      <c r="Q23" s="20">
        <f t="shared" si="6"/>
        <v>0.95261538461538564</v>
      </c>
      <c r="R23" s="170"/>
      <c r="S23" s="27">
        <v>0.79027777777777775</v>
      </c>
      <c r="T23" s="27">
        <v>0.83541666666666659</v>
      </c>
      <c r="U23" s="4">
        <f t="shared" si="22"/>
        <v>5.9999999999999787</v>
      </c>
      <c r="V23" s="21">
        <f t="shared" si="21"/>
        <v>64.999999999999929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-71.076923076921503</v>
      </c>
      <c r="AF23" s="20">
        <f t="shared" si="9"/>
        <v>0.95261538461538564</v>
      </c>
      <c r="AG23" s="170"/>
    </row>
    <row r="24" spans="1:33" ht="15.75" customHeight="1">
      <c r="A24" s="193" t="s">
        <v>52</v>
      </c>
      <c r="B24" s="35" t="s">
        <v>1232</v>
      </c>
      <c r="C24" s="171"/>
      <c r="D24" s="171"/>
      <c r="E24" s="36"/>
      <c r="F24" s="4"/>
      <c r="G24" s="4"/>
      <c r="H24" s="4"/>
      <c r="I24" s="29">
        <v>14.8</v>
      </c>
      <c r="J24" s="17">
        <v>1900</v>
      </c>
      <c r="K24" s="16">
        <f t="shared" si="1"/>
        <v>128.37837837837839</v>
      </c>
      <c r="L24" s="29">
        <v>14.8</v>
      </c>
      <c r="M24" s="17">
        <f>AVERAGE(M19:M23)</f>
        <v>1816.8176948647542</v>
      </c>
      <c r="N24" s="16">
        <f t="shared" si="3"/>
        <v>122.75795235572663</v>
      </c>
      <c r="O24" s="18">
        <f t="shared" si="4"/>
        <v>0</v>
      </c>
      <c r="P24" s="19">
        <f t="shared" si="5"/>
        <v>-5.6204260226517562</v>
      </c>
      <c r="Q24" s="20">
        <f t="shared" si="6"/>
        <v>0.9562198394025021</v>
      </c>
      <c r="R24" s="170"/>
      <c r="S24" s="27"/>
      <c r="T24" s="27"/>
      <c r="U24" s="16"/>
      <c r="V24" s="21"/>
      <c r="W24" s="16"/>
      <c r="X24" s="16"/>
      <c r="Y24" s="30">
        <f>SUM(Y19:Y23)</f>
        <v>0</v>
      </c>
      <c r="Z24" s="30">
        <f>SUM(Z19:Z23)</f>
        <v>0</v>
      </c>
      <c r="AA24" s="166"/>
      <c r="AB24" s="166"/>
      <c r="AC24" s="30">
        <v>5</v>
      </c>
      <c r="AD24" s="30">
        <f>SUM(AD19:AD23)</f>
        <v>0</v>
      </c>
      <c r="AE24" s="18">
        <f t="shared" si="8"/>
        <v>-83.18230513524577</v>
      </c>
      <c r="AF24" s="20">
        <f t="shared" si="9"/>
        <v>0.95621983940250221</v>
      </c>
      <c r="AG24" s="170"/>
    </row>
    <row r="25" spans="1:33" ht="15.75" customHeight="1">
      <c r="A25" s="191" t="s">
        <v>54</v>
      </c>
      <c r="B25" s="35" t="s">
        <v>97</v>
      </c>
      <c r="C25" s="190" t="s">
        <v>98</v>
      </c>
      <c r="D25" s="190"/>
      <c r="E25" s="35">
        <v>31.29</v>
      </c>
      <c r="F25" s="4">
        <v>7351</v>
      </c>
      <c r="G25" s="4">
        <f t="shared" ref="G25:G29" si="23">E25*F25</f>
        <v>230012.79</v>
      </c>
      <c r="H25" s="21" t="s">
        <v>133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29" si="24">F25/V25*60</f>
        <v>2285.2849740932647</v>
      </c>
      <c r="N25" s="16">
        <f t="shared" si="3"/>
        <v>126.9602763385147</v>
      </c>
      <c r="O25" s="18">
        <f t="shared" si="4"/>
        <v>0</v>
      </c>
      <c r="P25" s="19">
        <f t="shared" si="5"/>
        <v>-6.37305699481864</v>
      </c>
      <c r="Q25" s="20">
        <f t="shared" si="6"/>
        <v>0.95220207253886024</v>
      </c>
      <c r="R25" s="170">
        <f>Q30</f>
        <v>0.9570132436394243</v>
      </c>
      <c r="S25" s="27">
        <v>0.125</v>
      </c>
      <c r="T25" s="27">
        <v>0.25902777777777775</v>
      </c>
      <c r="U25" s="4"/>
      <c r="V25" s="21">
        <f t="shared" ref="V25:V29" si="25">(T25-S25)*24*60</f>
        <v>192.99999999999994</v>
      </c>
      <c r="W25" s="22">
        <f>T25</f>
        <v>0.25902777777777775</v>
      </c>
      <c r="X25" s="22">
        <f>S26</f>
        <v>0.27847222222222218</v>
      </c>
      <c r="Y25" s="22"/>
      <c r="Z25" s="22"/>
      <c r="AA25" s="162"/>
      <c r="AB25" s="162"/>
      <c r="AC25" s="24">
        <v>5</v>
      </c>
      <c r="AD25" s="24"/>
      <c r="AE25" s="18">
        <f t="shared" si="8"/>
        <v>-114.71502590673526</v>
      </c>
      <c r="AF25" s="20">
        <f t="shared" si="9"/>
        <v>0.95220207253886036</v>
      </c>
      <c r="AG25" s="170">
        <f>AF30</f>
        <v>0.9570132436394243</v>
      </c>
    </row>
    <row r="26" spans="1:33" ht="15.75" customHeight="1">
      <c r="A26" s="191" t="s">
        <v>1242</v>
      </c>
      <c r="B26" s="35" t="s">
        <v>97</v>
      </c>
      <c r="C26" s="190" t="s">
        <v>99</v>
      </c>
      <c r="D26" s="190"/>
      <c r="E26" s="35">
        <v>25.98</v>
      </c>
      <c r="F26" s="4">
        <v>2289</v>
      </c>
      <c r="G26" s="4">
        <f t="shared" si="23"/>
        <v>59468.22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2288.9999999999991</v>
      </c>
      <c r="N26" s="16">
        <f t="shared" si="3"/>
        <v>108.99999999999996</v>
      </c>
      <c r="O26" s="18">
        <f t="shared" si="4"/>
        <v>0</v>
      </c>
      <c r="P26" s="19">
        <f t="shared" si="5"/>
        <v>-5.2857142857143344</v>
      </c>
      <c r="Q26" s="20">
        <f t="shared" si="6"/>
        <v>0.95374999999999954</v>
      </c>
      <c r="R26" s="170"/>
      <c r="S26" s="27">
        <v>0.27847222222222218</v>
      </c>
      <c r="T26" s="27">
        <v>0.32013888888888886</v>
      </c>
      <c r="U26" s="4">
        <f t="shared" ref="U26:U29" si="26">(S26-T25)*24*60</f>
        <v>27.999999999999979</v>
      </c>
      <c r="V26" s="21">
        <f t="shared" si="25"/>
        <v>60.000000000000028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-111.00000000000091</v>
      </c>
      <c r="AF26" s="20">
        <f t="shared" si="9"/>
        <v>0.95374999999999965</v>
      </c>
      <c r="AG26" s="170"/>
    </row>
    <row r="27" spans="1:33" ht="15.75" customHeight="1">
      <c r="A27" s="191" t="s">
        <v>1242</v>
      </c>
      <c r="B27" s="35" t="s">
        <v>97</v>
      </c>
      <c r="C27" s="190" t="s">
        <v>100</v>
      </c>
      <c r="D27" s="190"/>
      <c r="E27" s="35">
        <v>26.2</v>
      </c>
      <c r="F27" s="4">
        <v>4149</v>
      </c>
      <c r="G27" s="4">
        <f t="shared" si="23"/>
        <v>108703.8</v>
      </c>
      <c r="H27" s="21" t="s">
        <v>133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2305</v>
      </c>
      <c r="N27" s="16">
        <f t="shared" si="3"/>
        <v>115.25</v>
      </c>
      <c r="O27" s="18">
        <f t="shared" si="4"/>
        <v>0</v>
      </c>
      <c r="P27" s="19">
        <f t="shared" si="5"/>
        <v>-4.75</v>
      </c>
      <c r="Q27" s="20">
        <f t="shared" si="6"/>
        <v>0.9604166666666667</v>
      </c>
      <c r="R27" s="170"/>
      <c r="S27" s="27">
        <v>0.32499999999999996</v>
      </c>
      <c r="T27" s="27">
        <v>0.39999999999999997</v>
      </c>
      <c r="U27" s="4">
        <f t="shared" si="26"/>
        <v>6.9999999999999751</v>
      </c>
      <c r="V27" s="21">
        <f t="shared" si="25"/>
        <v>108.00000000000001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-95</v>
      </c>
      <c r="AF27" s="20">
        <f t="shared" si="9"/>
        <v>0.9604166666666667</v>
      </c>
      <c r="AG27" s="170"/>
    </row>
    <row r="28" spans="1:33" ht="15.75" customHeight="1">
      <c r="A28" s="191" t="s">
        <v>1242</v>
      </c>
      <c r="B28" s="35" t="s">
        <v>97</v>
      </c>
      <c r="C28" s="190" t="s">
        <v>101</v>
      </c>
      <c r="D28" s="190"/>
      <c r="E28" s="35">
        <v>25.99</v>
      </c>
      <c r="F28" s="4">
        <v>3245</v>
      </c>
      <c r="G28" s="4">
        <f t="shared" si="23"/>
        <v>84337.549999999988</v>
      </c>
      <c r="H28" s="21" t="s">
        <v>133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2290.5882352941176</v>
      </c>
      <c r="N28" s="16">
        <f t="shared" si="3"/>
        <v>163.61344537815125</v>
      </c>
      <c r="O28" s="18">
        <f t="shared" si="4"/>
        <v>0</v>
      </c>
      <c r="P28" s="19">
        <f t="shared" si="5"/>
        <v>-7.8151260504201616</v>
      </c>
      <c r="Q28" s="20">
        <f t="shared" si="6"/>
        <v>0.9544117647058824</v>
      </c>
      <c r="R28" s="170"/>
      <c r="S28" s="27">
        <v>0.40347222222222218</v>
      </c>
      <c r="T28" s="27">
        <v>0.46249999999999997</v>
      </c>
      <c r="U28" s="4">
        <f t="shared" si="26"/>
        <v>4.9999999999999822</v>
      </c>
      <c r="V28" s="21">
        <f t="shared" si="25"/>
        <v>85.000000000000014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-109.41176470588243</v>
      </c>
      <c r="AF28" s="20">
        <f t="shared" si="9"/>
        <v>0.95441176470588229</v>
      </c>
      <c r="AG28" s="170"/>
    </row>
    <row r="29" spans="1:33" ht="15.75" customHeight="1">
      <c r="A29" s="191" t="s">
        <v>1243</v>
      </c>
      <c r="B29" s="35" t="s">
        <v>97</v>
      </c>
      <c r="C29" s="190" t="s">
        <v>102</v>
      </c>
      <c r="D29" s="190"/>
      <c r="E29" s="35">
        <v>26.18</v>
      </c>
      <c r="F29" s="4">
        <v>1350</v>
      </c>
      <c r="G29" s="4">
        <f t="shared" si="23"/>
        <v>35343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2314.2857142857119</v>
      </c>
      <c r="N29" s="16">
        <f t="shared" si="3"/>
        <v>121.80451127819536</v>
      </c>
      <c r="O29" s="18">
        <f t="shared" si="4"/>
        <v>0</v>
      </c>
      <c r="P29" s="19">
        <f t="shared" si="5"/>
        <v>-4.5112781954888419</v>
      </c>
      <c r="Q29" s="20">
        <f t="shared" si="6"/>
        <v>0.9642857142857133</v>
      </c>
      <c r="R29" s="170"/>
      <c r="S29" s="27">
        <v>0.46736111111111106</v>
      </c>
      <c r="T29" s="27">
        <v>0.49166666666666664</v>
      </c>
      <c r="U29" s="4">
        <f t="shared" si="26"/>
        <v>6.9999999999999751</v>
      </c>
      <c r="V29" s="21">
        <f t="shared" si="25"/>
        <v>35.000000000000036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-85.714285714288053</v>
      </c>
      <c r="AF29" s="20">
        <f t="shared" si="9"/>
        <v>0.9642857142857133</v>
      </c>
      <c r="AG29" s="170"/>
    </row>
    <row r="30" spans="1:33" ht="15.75" customHeight="1">
      <c r="A30" s="191" t="s">
        <v>1243</v>
      </c>
      <c r="B30" s="35" t="s">
        <v>1232</v>
      </c>
      <c r="C30" s="171"/>
      <c r="D30" s="171"/>
      <c r="E30" s="36"/>
      <c r="F30" s="4"/>
      <c r="G30" s="4"/>
      <c r="H30" s="4"/>
      <c r="I30" s="29">
        <v>18.399999999999999</v>
      </c>
      <c r="J30" s="17">
        <v>2400</v>
      </c>
      <c r="K30" s="16">
        <f t="shared" si="1"/>
        <v>130.43478260869566</v>
      </c>
      <c r="L30" s="29">
        <v>18.399999999999999</v>
      </c>
      <c r="M30" s="17">
        <f>AVERAGE(M25:M29)</f>
        <v>2296.8317847346184</v>
      </c>
      <c r="N30" s="16">
        <f t="shared" si="3"/>
        <v>124.827814387751</v>
      </c>
      <c r="O30" s="18">
        <f t="shared" si="4"/>
        <v>0</v>
      </c>
      <c r="P30" s="19">
        <f t="shared" si="5"/>
        <v>-5.6069682209446512</v>
      </c>
      <c r="Q30" s="20">
        <f t="shared" si="6"/>
        <v>0.9570132436394243</v>
      </c>
      <c r="R30" s="170"/>
      <c r="S30" s="27"/>
      <c r="T30" s="27"/>
      <c r="U30" s="4"/>
      <c r="V30" s="21"/>
      <c r="W30" s="4"/>
      <c r="X30" s="4"/>
      <c r="Y30" s="30">
        <f>SUM(Y25:Y29)</f>
        <v>0</v>
      </c>
      <c r="Z30" s="30">
        <f>SUM(Z25:Z29)</f>
        <v>0</v>
      </c>
      <c r="AA30" s="166"/>
      <c r="AB30" s="166"/>
      <c r="AC30" s="30">
        <v>5</v>
      </c>
      <c r="AD30" s="30">
        <f>SUM(AD25:AD29)</f>
        <v>0</v>
      </c>
      <c r="AE30" s="18">
        <f t="shared" si="8"/>
        <v>-103.1682152653816</v>
      </c>
      <c r="AF30" s="20">
        <f t="shared" si="9"/>
        <v>0.9570132436394243</v>
      </c>
      <c r="AG30" s="170"/>
    </row>
    <row r="31" spans="1:33" ht="15.75" customHeight="1">
      <c r="A31" s="188" t="s">
        <v>1244</v>
      </c>
      <c r="B31" s="35" t="s">
        <v>97</v>
      </c>
      <c r="C31" s="163" t="s">
        <v>103</v>
      </c>
      <c r="D31" s="163"/>
      <c r="E31" s="35">
        <v>26.2</v>
      </c>
      <c r="F31" s="4">
        <v>5388</v>
      </c>
      <c r="G31" s="4">
        <f t="shared" ref="G31:G36" si="27">E31*F31</f>
        <v>141165.6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ref="M31:M36" si="28">F31/V31*60</f>
        <v>2292.7659574468094</v>
      </c>
      <c r="N31" s="16">
        <f t="shared" si="3"/>
        <v>127.37588652482275</v>
      </c>
      <c r="O31" s="18">
        <f t="shared" si="4"/>
        <v>0</v>
      </c>
      <c r="P31" s="19">
        <f t="shared" si="5"/>
        <v>-5.9574468085105963</v>
      </c>
      <c r="Q31" s="20">
        <f t="shared" si="6"/>
        <v>0.95531914893617054</v>
      </c>
      <c r="R31" s="170">
        <f>Q37</f>
        <v>0.95613724218280982</v>
      </c>
      <c r="S31" s="27">
        <v>0.125</v>
      </c>
      <c r="T31" s="27">
        <v>0.22291666666666665</v>
      </c>
      <c r="U31" s="4"/>
      <c r="V31" s="21">
        <f t="shared" ref="V31:V36" si="29">(T31-S31)*24*60</f>
        <v>140.99999999999997</v>
      </c>
      <c r="W31" s="27">
        <f>T31</f>
        <v>0.22291666666666665</v>
      </c>
      <c r="X31" s="27">
        <f>S32</f>
        <v>0.24236111111111111</v>
      </c>
      <c r="Y31" s="27"/>
      <c r="Z31" s="27"/>
      <c r="AA31" s="162"/>
      <c r="AB31" s="162"/>
      <c r="AC31" s="24">
        <v>6</v>
      </c>
      <c r="AD31" s="24"/>
      <c r="AE31" s="18">
        <f t="shared" si="8"/>
        <v>-107.23404255319065</v>
      </c>
      <c r="AF31" s="20">
        <f t="shared" si="9"/>
        <v>0.95531914893617054</v>
      </c>
      <c r="AG31" s="170">
        <f>AF37</f>
        <v>0.95613724218280971</v>
      </c>
    </row>
    <row r="32" spans="1:33" ht="15.75" customHeight="1">
      <c r="A32" s="188" t="s">
        <v>1245</v>
      </c>
      <c r="B32" s="35" t="s">
        <v>97</v>
      </c>
      <c r="C32" s="163" t="s">
        <v>104</v>
      </c>
      <c r="D32" s="163"/>
      <c r="E32" s="35">
        <v>20.52</v>
      </c>
      <c r="F32" s="4">
        <v>2878</v>
      </c>
      <c r="G32" s="4">
        <f t="shared" si="27"/>
        <v>59056.56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8"/>
        <v>2302.3999999999996</v>
      </c>
      <c r="N32" s="16">
        <f t="shared" si="3"/>
        <v>127.9111111111111</v>
      </c>
      <c r="O32" s="18">
        <f t="shared" si="4"/>
        <v>0</v>
      </c>
      <c r="P32" s="19">
        <f t="shared" si="5"/>
        <v>-5.4222222222222456</v>
      </c>
      <c r="Q32" s="20">
        <f t="shared" si="6"/>
        <v>0.95933333333333315</v>
      </c>
      <c r="R32" s="170"/>
      <c r="S32" s="27">
        <v>0.24236111111111111</v>
      </c>
      <c r="T32" s="27">
        <v>0.29444444444444445</v>
      </c>
      <c r="U32" s="4">
        <f t="shared" ref="U32:U36" si="30">(S32-T31)*24*60</f>
        <v>28.000000000000021</v>
      </c>
      <c r="V32" s="21">
        <f t="shared" si="29"/>
        <v>75.000000000000014</v>
      </c>
      <c r="W32" s="4"/>
      <c r="X32" s="4"/>
      <c r="Y32" s="4"/>
      <c r="Z32" s="4"/>
      <c r="AA32" s="162"/>
      <c r="AB32" s="162"/>
      <c r="AC32" s="24"/>
      <c r="AD32" s="24"/>
      <c r="AE32" s="18">
        <f t="shared" si="8"/>
        <v>-97.600000000000364</v>
      </c>
      <c r="AF32" s="20">
        <f t="shared" si="9"/>
        <v>0.95933333333333315</v>
      </c>
      <c r="AG32" s="170"/>
    </row>
    <row r="33" spans="1:33">
      <c r="A33" s="189" t="s">
        <v>1246</v>
      </c>
      <c r="B33" s="35" t="s">
        <v>97</v>
      </c>
      <c r="C33" s="163" t="s">
        <v>105</v>
      </c>
      <c r="D33" s="163"/>
      <c r="E33" s="35">
        <v>26.39</v>
      </c>
      <c r="F33" s="4">
        <v>4691</v>
      </c>
      <c r="G33" s="4">
        <f t="shared" si="27"/>
        <v>123795.49</v>
      </c>
      <c r="H33" s="21" t="s">
        <v>133</v>
      </c>
      <c r="I33" s="15">
        <v>19</v>
      </c>
      <c r="J33" s="17">
        <v>2400</v>
      </c>
      <c r="K33" s="16">
        <f t="shared" si="1"/>
        <v>126.31578947368421</v>
      </c>
      <c r="L33" s="15">
        <v>19</v>
      </c>
      <c r="M33" s="17">
        <f t="shared" si="28"/>
        <v>2288.2926829268304</v>
      </c>
      <c r="N33" s="16">
        <f t="shared" si="3"/>
        <v>120.43645699614896</v>
      </c>
      <c r="O33" s="18">
        <f t="shared" si="4"/>
        <v>0</v>
      </c>
      <c r="P33" s="19">
        <f t="shared" si="5"/>
        <v>-5.8793324775352431</v>
      </c>
      <c r="Q33" s="20">
        <f t="shared" si="6"/>
        <v>0.95345528455284601</v>
      </c>
      <c r="R33" s="170"/>
      <c r="S33" s="27">
        <v>0.2986111111111111</v>
      </c>
      <c r="T33" s="27">
        <v>0.38402777777777775</v>
      </c>
      <c r="U33" s="4">
        <f t="shared" si="30"/>
        <v>5.9999999999999787</v>
      </c>
      <c r="V33" s="21">
        <f t="shared" si="29"/>
        <v>122.99999999999996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-111.70731707316963</v>
      </c>
      <c r="AF33" s="20">
        <f t="shared" si="9"/>
        <v>0.95345528455284601</v>
      </c>
      <c r="AG33" s="170"/>
    </row>
    <row r="34" spans="1:33">
      <c r="A34" s="189" t="s">
        <v>1246</v>
      </c>
      <c r="B34" s="35" t="s">
        <v>97</v>
      </c>
      <c r="C34" s="163" t="s">
        <v>107</v>
      </c>
      <c r="D34" s="163"/>
      <c r="E34" s="35">
        <v>20.52</v>
      </c>
      <c r="F34" s="4">
        <v>2298</v>
      </c>
      <c r="G34" s="4">
        <f t="shared" si="27"/>
        <v>47154.96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2297.9999999999991</v>
      </c>
      <c r="N34" s="16">
        <f t="shared" si="3"/>
        <v>127.66666666666661</v>
      </c>
      <c r="O34" s="18">
        <f t="shared" si="4"/>
        <v>0</v>
      </c>
      <c r="P34" s="19">
        <f t="shared" si="5"/>
        <v>-5.6666666666667282</v>
      </c>
      <c r="Q34" s="20">
        <f t="shared" si="6"/>
        <v>0.95749999999999957</v>
      </c>
      <c r="R34" s="170"/>
      <c r="S34" s="27">
        <v>0.38958333333333328</v>
      </c>
      <c r="T34" s="27">
        <v>0.43124999999999997</v>
      </c>
      <c r="U34" s="4">
        <f t="shared" si="30"/>
        <v>7.9999999999999716</v>
      </c>
      <c r="V34" s="21">
        <f t="shared" si="29"/>
        <v>60.000000000000028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-102.00000000000091</v>
      </c>
      <c r="AF34" s="20">
        <f t="shared" si="9"/>
        <v>0.95749999999999957</v>
      </c>
      <c r="AG34" s="170"/>
    </row>
    <row r="35" spans="1:33">
      <c r="A35" s="189" t="s">
        <v>1246</v>
      </c>
      <c r="B35" s="35" t="s">
        <v>97</v>
      </c>
      <c r="C35" s="163" t="s">
        <v>304</v>
      </c>
      <c r="D35" s="163"/>
      <c r="E35" s="35">
        <v>22.69</v>
      </c>
      <c r="F35" s="4">
        <v>2600</v>
      </c>
      <c r="G35" s="4">
        <f t="shared" si="27"/>
        <v>58994</v>
      </c>
      <c r="H35" s="21">
        <v>2</v>
      </c>
      <c r="I35" s="15">
        <v>15</v>
      </c>
      <c r="J35" s="17">
        <v>2400</v>
      </c>
      <c r="K35" s="16">
        <f t="shared" si="1"/>
        <v>160</v>
      </c>
      <c r="L35" s="15">
        <v>15</v>
      </c>
      <c r="M35" s="17">
        <f t="shared" si="28"/>
        <v>2294.1176470588234</v>
      </c>
      <c r="N35" s="16">
        <f t="shared" si="3"/>
        <v>152.94117647058823</v>
      </c>
      <c r="O35" s="18">
        <f t="shared" si="4"/>
        <v>0</v>
      </c>
      <c r="P35" s="19">
        <f t="shared" si="5"/>
        <v>-7.058823529411768</v>
      </c>
      <c r="Q35" s="20">
        <f t="shared" si="6"/>
        <v>0.95588235294117641</v>
      </c>
      <c r="R35" s="170"/>
      <c r="S35" s="27">
        <v>0.43611111111111106</v>
      </c>
      <c r="T35" s="27">
        <v>0.48333333333333328</v>
      </c>
      <c r="U35" s="4">
        <f t="shared" si="30"/>
        <v>6.9999999999999751</v>
      </c>
      <c r="V35" s="21">
        <f t="shared" si="29"/>
        <v>68</v>
      </c>
      <c r="W35" s="22">
        <f>T35</f>
        <v>0.48333333333333328</v>
      </c>
      <c r="X35" s="22">
        <f>S36</f>
        <v>0.52430555555555547</v>
      </c>
      <c r="Y35" s="22"/>
      <c r="Z35" s="22"/>
      <c r="AA35" s="162"/>
      <c r="AB35" s="162"/>
      <c r="AC35" s="24"/>
      <c r="AD35" s="24"/>
      <c r="AE35" s="18">
        <f t="shared" si="8"/>
        <v>-105.88235294117658</v>
      </c>
      <c r="AF35" s="20">
        <f t="shared" si="9"/>
        <v>0.95588235294117641</v>
      </c>
      <c r="AG35" s="170"/>
    </row>
    <row r="36" spans="1:33">
      <c r="A36" s="189" t="s">
        <v>1244</v>
      </c>
      <c r="B36" s="35" t="s">
        <v>97</v>
      </c>
      <c r="C36" s="163" t="s">
        <v>304</v>
      </c>
      <c r="D36" s="163"/>
      <c r="E36" s="35">
        <v>22.69</v>
      </c>
      <c r="F36" s="4">
        <v>2866</v>
      </c>
      <c r="G36" s="4">
        <f t="shared" si="27"/>
        <v>65029.54</v>
      </c>
      <c r="H36" s="21" t="s">
        <v>133</v>
      </c>
      <c r="I36" s="15">
        <v>15</v>
      </c>
      <c r="J36" s="17">
        <v>2400</v>
      </c>
      <c r="K36" s="16">
        <f t="shared" si="1"/>
        <v>160</v>
      </c>
      <c r="L36" s="15">
        <v>15</v>
      </c>
      <c r="M36" s="17">
        <f t="shared" si="28"/>
        <v>2292.7999999999984</v>
      </c>
      <c r="N36" s="16">
        <f t="shared" si="3"/>
        <v>152.85333333333321</v>
      </c>
      <c r="O36" s="18">
        <f t="shared" si="4"/>
        <v>0</v>
      </c>
      <c r="P36" s="19">
        <f t="shared" si="5"/>
        <v>-7.1466666666667891</v>
      </c>
      <c r="Q36" s="20">
        <f t="shared" si="6"/>
        <v>0.95533333333333259</v>
      </c>
      <c r="R36" s="170"/>
      <c r="S36" s="27">
        <v>0.52430555555555547</v>
      </c>
      <c r="T36" s="27">
        <v>0.57638888888888884</v>
      </c>
      <c r="U36" s="4">
        <f t="shared" si="30"/>
        <v>58.99999999999995</v>
      </c>
      <c r="V36" s="21">
        <f t="shared" si="29"/>
        <v>75.000000000000057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-107.20000000000164</v>
      </c>
      <c r="AF36" s="20">
        <f t="shared" si="9"/>
        <v>0.9553333333333327</v>
      </c>
      <c r="AG36" s="170"/>
    </row>
    <row r="37" spans="1:33">
      <c r="A37" s="189" t="s">
        <v>60</v>
      </c>
      <c r="B37" s="16" t="s">
        <v>48</v>
      </c>
      <c r="C37" s="171"/>
      <c r="D37" s="171"/>
      <c r="E37" s="36"/>
      <c r="F37" s="16"/>
      <c r="G37" s="16"/>
      <c r="H37" s="4"/>
      <c r="I37" s="29">
        <v>17.166666666666668</v>
      </c>
      <c r="J37" s="17">
        <v>2400</v>
      </c>
      <c r="K37" s="16">
        <f t="shared" si="1"/>
        <v>139.80582524271844</v>
      </c>
      <c r="L37" s="29">
        <v>17.166666666666668</v>
      </c>
      <c r="M37" s="17">
        <f>AVERAGE(M31:M36)</f>
        <v>2294.7293812387434</v>
      </c>
      <c r="N37" s="16">
        <f t="shared" si="3"/>
        <v>133.67355618866466</v>
      </c>
      <c r="O37" s="18">
        <f t="shared" si="4"/>
        <v>0</v>
      </c>
      <c r="P37" s="19">
        <f t="shared" si="5"/>
        <v>-6.1322690540537792</v>
      </c>
      <c r="Q37" s="20">
        <f t="shared" si="6"/>
        <v>0.95613724218280982</v>
      </c>
      <c r="R37" s="170"/>
      <c r="S37" s="27"/>
      <c r="T37" s="27"/>
      <c r="U37" s="16"/>
      <c r="V37" s="21"/>
      <c r="W37" s="16"/>
      <c r="X37" s="16"/>
      <c r="Y37" s="30">
        <f>SUM(Y31:Y36)</f>
        <v>0</v>
      </c>
      <c r="Z37" s="30">
        <f>SUM(Z31:Z36)</f>
        <v>0</v>
      </c>
      <c r="AA37" s="166"/>
      <c r="AB37" s="166"/>
      <c r="AC37" s="30">
        <v>6</v>
      </c>
      <c r="AD37" s="30">
        <f>SUM(AD31:AD36)</f>
        <v>0</v>
      </c>
      <c r="AE37" s="18">
        <f t="shared" si="8"/>
        <v>-105.27061876125663</v>
      </c>
      <c r="AF37" s="20">
        <f t="shared" si="9"/>
        <v>0.95613724218280971</v>
      </c>
      <c r="AG37" s="170"/>
    </row>
    <row r="38" spans="1:33" ht="15.75" customHeight="1">
      <c r="A38" s="182" t="s">
        <v>66</v>
      </c>
      <c r="B38" s="35" t="s">
        <v>108</v>
      </c>
      <c r="C38" s="174" t="s">
        <v>109</v>
      </c>
      <c r="D38" s="175"/>
      <c r="E38" s="35">
        <v>34.36</v>
      </c>
      <c r="F38" s="4">
        <v>1918</v>
      </c>
      <c r="G38" s="4">
        <f t="shared" ref="G38:G45" si="31">E38*F38</f>
        <v>65902.48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ref="M38:M45" si="32">F38/V38*60</f>
        <v>2877.0000000000014</v>
      </c>
      <c r="N38" s="17">
        <f t="shared" si="3"/>
        <v>287.70000000000016</v>
      </c>
      <c r="O38" s="18">
        <f t="shared" si="4"/>
        <v>0</v>
      </c>
      <c r="P38" s="19">
        <f t="shared" si="5"/>
        <v>-12.299999999999841</v>
      </c>
      <c r="Q38" s="20">
        <f t="shared" si="6"/>
        <v>0.95900000000000052</v>
      </c>
      <c r="R38" s="185">
        <f>Q46</f>
        <v>0.96205672057457803</v>
      </c>
      <c r="S38" s="27">
        <v>0.20833333333333334</v>
      </c>
      <c r="T38" s="27">
        <v>0.2361111111111111</v>
      </c>
      <c r="U38" s="27"/>
      <c r="V38" s="21">
        <f t="shared" ref="V38:V45" si="33">(T38-S38)*24*60</f>
        <v>39.999999999999979</v>
      </c>
      <c r="W38" s="22"/>
      <c r="X38" s="22"/>
      <c r="Y38" s="25"/>
      <c r="Z38" s="25"/>
      <c r="AA38" s="176"/>
      <c r="AB38" s="177"/>
      <c r="AC38" s="24">
        <v>8</v>
      </c>
      <c r="AD38" s="24"/>
      <c r="AE38" s="18">
        <f t="shared" si="8"/>
        <v>-122.99999999999864</v>
      </c>
      <c r="AF38" s="20">
        <f t="shared" si="9"/>
        <v>0.95900000000000041</v>
      </c>
      <c r="AG38" s="185">
        <f>AF46</f>
        <v>0.96205672057457792</v>
      </c>
    </row>
    <row r="39" spans="1:33" ht="15.75" customHeight="1">
      <c r="A39" s="183" t="s">
        <v>66</v>
      </c>
      <c r="B39" s="35" t="s">
        <v>108</v>
      </c>
      <c r="C39" s="174" t="s">
        <v>110</v>
      </c>
      <c r="D39" s="175"/>
      <c r="E39" s="35">
        <v>26.78</v>
      </c>
      <c r="F39" s="4">
        <v>2365</v>
      </c>
      <c r="G39" s="4">
        <f t="shared" si="31"/>
        <v>63334.700000000004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2895.9183673469374</v>
      </c>
      <c r="N39" s="17">
        <f t="shared" si="3"/>
        <v>289.59183673469374</v>
      </c>
      <c r="O39" s="18">
        <f t="shared" si="4"/>
        <v>0</v>
      </c>
      <c r="P39" s="19">
        <f t="shared" si="5"/>
        <v>-10.408163265306257</v>
      </c>
      <c r="Q39" s="20">
        <f t="shared" si="6"/>
        <v>0.96530612244897918</v>
      </c>
      <c r="R39" s="186"/>
      <c r="S39" s="27">
        <v>0.24097222222222223</v>
      </c>
      <c r="T39" s="27">
        <v>0.27500000000000002</v>
      </c>
      <c r="U39" s="4">
        <f t="shared" ref="U39:U45" si="34">(S39-T38)*24*60</f>
        <v>7.0000000000000151</v>
      </c>
      <c r="V39" s="21">
        <f t="shared" si="33"/>
        <v>49.000000000000028</v>
      </c>
      <c r="W39" s="22"/>
      <c r="X39" s="22"/>
      <c r="Y39" s="25"/>
      <c r="Z39" s="25"/>
      <c r="AA39" s="176"/>
      <c r="AB39" s="177"/>
      <c r="AC39" s="24"/>
      <c r="AD39" s="24"/>
      <c r="AE39" s="18">
        <f t="shared" si="8"/>
        <v>-104.08163265306257</v>
      </c>
      <c r="AF39" s="20">
        <f t="shared" si="9"/>
        <v>0.96530612244897918</v>
      </c>
      <c r="AG39" s="186"/>
    </row>
    <row r="40" spans="1:33" ht="15.75" customHeight="1">
      <c r="A40" s="183" t="s">
        <v>1247</v>
      </c>
      <c r="B40" s="35" t="s">
        <v>108</v>
      </c>
      <c r="C40" s="174" t="s">
        <v>111</v>
      </c>
      <c r="D40" s="175"/>
      <c r="E40" s="35">
        <v>21.13</v>
      </c>
      <c r="F40" s="4">
        <v>2500</v>
      </c>
      <c r="G40" s="4">
        <f t="shared" si="31"/>
        <v>52825</v>
      </c>
      <c r="H40" s="21">
        <v>2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2884.6153846153861</v>
      </c>
      <c r="N40" s="17">
        <f t="shared" si="3"/>
        <v>288.46153846153862</v>
      </c>
      <c r="O40" s="18">
        <f t="shared" si="4"/>
        <v>0</v>
      </c>
      <c r="P40" s="19">
        <f t="shared" si="5"/>
        <v>-11.538461538461377</v>
      </c>
      <c r="Q40" s="20">
        <f t="shared" si="6"/>
        <v>0.96153846153846212</v>
      </c>
      <c r="R40" s="186"/>
      <c r="S40" s="27">
        <v>0.27847222222222223</v>
      </c>
      <c r="T40" s="27">
        <v>0.31458333333333333</v>
      </c>
      <c r="U40" s="4">
        <f t="shared" si="34"/>
        <v>4.9999999999999822</v>
      </c>
      <c r="V40" s="21">
        <f t="shared" si="33"/>
        <v>51.999999999999972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-115.38461538461388</v>
      </c>
      <c r="AF40" s="20">
        <f t="shared" si="9"/>
        <v>0.96153846153846201</v>
      </c>
      <c r="AG40" s="186"/>
    </row>
    <row r="41" spans="1:33" ht="15.75" customHeight="1">
      <c r="A41" s="183" t="s">
        <v>1247</v>
      </c>
      <c r="B41" s="35" t="s">
        <v>108</v>
      </c>
      <c r="C41" s="174" t="s">
        <v>112</v>
      </c>
      <c r="D41" s="175"/>
      <c r="E41" s="35">
        <v>27.17</v>
      </c>
      <c r="F41" s="4">
        <v>4000</v>
      </c>
      <c r="G41" s="4">
        <f t="shared" si="31"/>
        <v>108680</v>
      </c>
      <c r="H41" s="21">
        <v>2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2857.1428571428564</v>
      </c>
      <c r="N41" s="17">
        <f t="shared" si="3"/>
        <v>285.71428571428567</v>
      </c>
      <c r="O41" s="18">
        <f t="shared" si="4"/>
        <v>0</v>
      </c>
      <c r="P41" s="19">
        <f t="shared" si="5"/>
        <v>-14.285714285714334</v>
      </c>
      <c r="Q41" s="20">
        <f t="shared" si="6"/>
        <v>0.95238095238095222</v>
      </c>
      <c r="R41" s="186"/>
      <c r="S41" s="27">
        <v>0.31944444444444442</v>
      </c>
      <c r="T41" s="27">
        <v>0.37777777777777777</v>
      </c>
      <c r="U41" s="4">
        <f t="shared" si="34"/>
        <v>6.9999999999999751</v>
      </c>
      <c r="V41" s="21">
        <f t="shared" si="33"/>
        <v>84.000000000000028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-142.85714285714357</v>
      </c>
      <c r="AF41" s="20">
        <f t="shared" si="9"/>
        <v>0.95238095238095211</v>
      </c>
      <c r="AG41" s="186"/>
    </row>
    <row r="42" spans="1:33" ht="15.75" customHeight="1">
      <c r="A42" s="183" t="s">
        <v>1247</v>
      </c>
      <c r="B42" s="35" t="s">
        <v>108</v>
      </c>
      <c r="C42" s="174" t="s">
        <v>305</v>
      </c>
      <c r="D42" s="175"/>
      <c r="E42" s="35">
        <v>28.3</v>
      </c>
      <c r="F42" s="4">
        <v>3045</v>
      </c>
      <c r="G42" s="4">
        <f t="shared" si="31"/>
        <v>86173.5</v>
      </c>
      <c r="H42" s="21" t="s">
        <v>133</v>
      </c>
      <c r="I42" s="15">
        <v>8</v>
      </c>
      <c r="J42" s="17">
        <v>3000</v>
      </c>
      <c r="K42" s="16">
        <f t="shared" si="1"/>
        <v>375</v>
      </c>
      <c r="L42" s="15">
        <v>8</v>
      </c>
      <c r="M42" s="17">
        <f t="shared" si="32"/>
        <v>2899.9999999999991</v>
      </c>
      <c r="N42" s="17">
        <f t="shared" si="3"/>
        <v>362.49999999999989</v>
      </c>
      <c r="O42" s="18">
        <f t="shared" si="4"/>
        <v>0</v>
      </c>
      <c r="P42" s="19">
        <f t="shared" si="5"/>
        <v>-12.500000000000114</v>
      </c>
      <c r="Q42" s="20">
        <f t="shared" si="6"/>
        <v>0.96666666666666634</v>
      </c>
      <c r="R42" s="186"/>
      <c r="S42" s="27">
        <v>0.38124999999999998</v>
      </c>
      <c r="T42" s="27">
        <v>0.42499999999999999</v>
      </c>
      <c r="U42" s="4">
        <f t="shared" si="34"/>
        <v>4.9999999999999822</v>
      </c>
      <c r="V42" s="21">
        <f t="shared" si="33"/>
        <v>63.000000000000014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-100.00000000000091</v>
      </c>
      <c r="AF42" s="20">
        <f t="shared" si="9"/>
        <v>0.96666666666666634</v>
      </c>
      <c r="AG42" s="186"/>
    </row>
    <row r="43" spans="1:33" ht="15.75" customHeight="1">
      <c r="A43" s="183" t="s">
        <v>66</v>
      </c>
      <c r="B43" s="35" t="s">
        <v>108</v>
      </c>
      <c r="C43" s="174" t="s">
        <v>113</v>
      </c>
      <c r="D43" s="175"/>
      <c r="E43" s="35">
        <v>35.869999999999997</v>
      </c>
      <c r="F43" s="4">
        <v>3529</v>
      </c>
      <c r="G43" s="4">
        <f t="shared" si="31"/>
        <v>126585.23</v>
      </c>
      <c r="H43" s="21" t="s">
        <v>133</v>
      </c>
      <c r="I43" s="15">
        <v>9</v>
      </c>
      <c r="J43" s="17">
        <v>3000</v>
      </c>
      <c r="K43" s="16">
        <f t="shared" si="1"/>
        <v>333.33333333333331</v>
      </c>
      <c r="L43" s="15">
        <v>9</v>
      </c>
      <c r="M43" s="17">
        <f t="shared" si="32"/>
        <v>2861.3513513513526</v>
      </c>
      <c r="N43" s="17">
        <f t="shared" si="3"/>
        <v>317.92792792792807</v>
      </c>
      <c r="O43" s="18">
        <f t="shared" si="4"/>
        <v>0</v>
      </c>
      <c r="P43" s="19">
        <f t="shared" si="5"/>
        <v>-15.405405405405247</v>
      </c>
      <c r="Q43" s="20">
        <f t="shared" si="6"/>
        <v>0.95378378378378426</v>
      </c>
      <c r="R43" s="186"/>
      <c r="S43" s="27">
        <v>0.43055555555555552</v>
      </c>
      <c r="T43" s="27">
        <v>0.4819444444444444</v>
      </c>
      <c r="U43" s="4">
        <f t="shared" si="34"/>
        <v>7.9999999999999716</v>
      </c>
      <c r="V43" s="21">
        <f t="shared" si="33"/>
        <v>73.999999999999972</v>
      </c>
      <c r="W43" s="22">
        <f>T43</f>
        <v>0.4819444444444444</v>
      </c>
      <c r="X43" s="22">
        <f>S44</f>
        <v>0.52222222222222214</v>
      </c>
      <c r="Y43" s="25"/>
      <c r="Z43" s="25"/>
      <c r="AA43" s="176"/>
      <c r="AB43" s="177"/>
      <c r="AC43" s="24"/>
      <c r="AD43" s="24"/>
      <c r="AE43" s="18">
        <f t="shared" si="8"/>
        <v>-138.6486486486474</v>
      </c>
      <c r="AF43" s="20">
        <f t="shared" si="9"/>
        <v>0.95378378378378426</v>
      </c>
      <c r="AG43" s="186"/>
    </row>
    <row r="44" spans="1:33" ht="15.75" customHeight="1">
      <c r="A44" s="183" t="s">
        <v>1248</v>
      </c>
      <c r="B44" s="35" t="s">
        <v>108</v>
      </c>
      <c r="C44" s="174" t="s">
        <v>111</v>
      </c>
      <c r="D44" s="175"/>
      <c r="E44" s="35">
        <v>21.13</v>
      </c>
      <c r="F44" s="4">
        <v>2174</v>
      </c>
      <c r="G44" s="4">
        <f t="shared" si="31"/>
        <v>45936.619999999995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si="32"/>
        <v>2898.6666666666665</v>
      </c>
      <c r="N44" s="17">
        <f t="shared" si="3"/>
        <v>289.86666666666667</v>
      </c>
      <c r="O44" s="18">
        <f t="shared" si="4"/>
        <v>0</v>
      </c>
      <c r="P44" s="19">
        <f t="shared" si="5"/>
        <v>-10.133333333333326</v>
      </c>
      <c r="Q44" s="20">
        <f t="shared" si="6"/>
        <v>0.9662222222222222</v>
      </c>
      <c r="R44" s="186"/>
      <c r="S44" s="27">
        <v>0.52222222222222214</v>
      </c>
      <c r="T44" s="27">
        <v>0.55347222222222214</v>
      </c>
      <c r="U44" s="4">
        <f t="shared" si="34"/>
        <v>57.999999999999957</v>
      </c>
      <c r="V44" s="21">
        <f t="shared" si="33"/>
        <v>45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-101.33333333333348</v>
      </c>
      <c r="AF44" s="20">
        <f t="shared" si="9"/>
        <v>0.9662222222222222</v>
      </c>
      <c r="AG44" s="186"/>
    </row>
    <row r="45" spans="1:33" ht="15.75" customHeight="1">
      <c r="A45" s="183" t="s">
        <v>1247</v>
      </c>
      <c r="B45" s="35" t="s">
        <v>108</v>
      </c>
      <c r="C45" s="174" t="s">
        <v>112</v>
      </c>
      <c r="D45" s="175"/>
      <c r="E45" s="35">
        <v>27.17</v>
      </c>
      <c r="F45" s="4">
        <v>2186</v>
      </c>
      <c r="G45" s="4">
        <f t="shared" si="31"/>
        <v>59393.62</v>
      </c>
      <c r="H45" s="21" t="s">
        <v>133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si="32"/>
        <v>2914.6666666666665</v>
      </c>
      <c r="N45" s="17">
        <f t="shared" si="3"/>
        <v>291.46666666666664</v>
      </c>
      <c r="O45" s="18">
        <f t="shared" si="4"/>
        <v>0</v>
      </c>
      <c r="P45" s="19">
        <f t="shared" si="5"/>
        <v>-8.5333333333333599</v>
      </c>
      <c r="Q45" s="20">
        <f t="shared" si="6"/>
        <v>0.97155555555555551</v>
      </c>
      <c r="R45" s="186"/>
      <c r="S45" s="27">
        <v>0.55833333333333324</v>
      </c>
      <c r="T45" s="27">
        <v>0.58958333333333324</v>
      </c>
      <c r="U45" s="4">
        <f t="shared" si="34"/>
        <v>6.9999999999999751</v>
      </c>
      <c r="V45" s="21">
        <f t="shared" si="33"/>
        <v>45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-85.333333333333485</v>
      </c>
      <c r="AF45" s="20">
        <f t="shared" si="9"/>
        <v>0.97155555555555551</v>
      </c>
      <c r="AG45" s="186"/>
    </row>
    <row r="46" spans="1:33" ht="15.75" customHeight="1">
      <c r="A46" s="184" t="s">
        <v>1249</v>
      </c>
      <c r="B46" s="35" t="s">
        <v>1250</v>
      </c>
      <c r="C46" s="164"/>
      <c r="D46" s="165"/>
      <c r="E46" s="37"/>
      <c r="F46" s="4"/>
      <c r="G46" s="4"/>
      <c r="H46" s="4"/>
      <c r="I46" s="29">
        <v>9.625</v>
      </c>
      <c r="J46" s="17">
        <v>3000</v>
      </c>
      <c r="K46" s="16">
        <f t="shared" si="1"/>
        <v>311.68831168831167</v>
      </c>
      <c r="L46" s="29">
        <v>9.625</v>
      </c>
      <c r="M46" s="17">
        <f>AVERAGE(M38:M45)</f>
        <v>2886.1701617237336</v>
      </c>
      <c r="N46" s="16">
        <f t="shared" si="3"/>
        <v>299.86183498428403</v>
      </c>
      <c r="O46" s="18">
        <f t="shared" si="4"/>
        <v>0</v>
      </c>
      <c r="P46" s="19">
        <f t="shared" si="5"/>
        <v>-11.826476704027641</v>
      </c>
      <c r="Q46" s="20">
        <f t="shared" si="6"/>
        <v>0.96205672057457803</v>
      </c>
      <c r="R46" s="187"/>
      <c r="S46" s="27"/>
      <c r="T46" s="27"/>
      <c r="U46" s="4"/>
      <c r="V46" s="21"/>
      <c r="W46" s="22"/>
      <c r="X46" s="22"/>
      <c r="Y46" s="30">
        <f>SUM(Y38:Y45)</f>
        <v>0</v>
      </c>
      <c r="Z46" s="30">
        <f>SUM(Z38:Z45)</f>
        <v>0</v>
      </c>
      <c r="AA46" s="180"/>
      <c r="AB46" s="181"/>
      <c r="AC46" s="30">
        <v>8</v>
      </c>
      <c r="AD46" s="30">
        <f>SUM(AD38:AD45)</f>
        <v>0</v>
      </c>
      <c r="AE46" s="18">
        <f t="shared" si="8"/>
        <v>-113.8298382762664</v>
      </c>
      <c r="AF46" s="20">
        <f t="shared" si="9"/>
        <v>0.96205672057457792</v>
      </c>
      <c r="AG46" s="187"/>
    </row>
    <row r="47" spans="1:33" ht="15.75" customHeight="1">
      <c r="A47" s="178" t="s">
        <v>72</v>
      </c>
      <c r="B47" s="35" t="s">
        <v>84</v>
      </c>
      <c r="C47" s="163" t="s">
        <v>114</v>
      </c>
      <c r="D47" s="163"/>
      <c r="E47" s="35">
        <v>46</v>
      </c>
      <c r="F47" s="38">
        <v>1624</v>
      </c>
      <c r="G47" s="4">
        <f t="shared" ref="G47:G54" si="35">E47*F47</f>
        <v>74704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:M54" si="36">F47/V47*60</f>
        <v>1910.5882352941169</v>
      </c>
      <c r="N47" s="17">
        <f t="shared" si="3"/>
        <v>112.38754325259511</v>
      </c>
      <c r="O47" s="18">
        <f t="shared" si="4"/>
        <v>0</v>
      </c>
      <c r="P47" s="19">
        <f t="shared" si="5"/>
        <v>-5.2595155709342976</v>
      </c>
      <c r="Q47" s="20">
        <f t="shared" si="6"/>
        <v>0.95529411764705852</v>
      </c>
      <c r="R47" s="170">
        <f>Q55</f>
        <v>0.94135796050027531</v>
      </c>
      <c r="S47" s="27">
        <v>0.20833333333333334</v>
      </c>
      <c r="T47" s="27">
        <v>0.24375000000000002</v>
      </c>
      <c r="U47" s="27"/>
      <c r="V47" s="21">
        <f t="shared" ref="V47:V54" si="37">(T47-S47)*24*60</f>
        <v>51.000000000000021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-89.411764705883115</v>
      </c>
      <c r="AF47" s="20">
        <f t="shared" si="9"/>
        <v>0.95529411764705841</v>
      </c>
      <c r="AG47" s="170">
        <f>AF55</f>
        <v>0.9413579605002752</v>
      </c>
    </row>
    <row r="48" spans="1:33" ht="15.75" customHeight="1">
      <c r="A48" s="178" t="s">
        <v>1251</v>
      </c>
      <c r="B48" s="35" t="s">
        <v>78</v>
      </c>
      <c r="C48" s="163" t="s">
        <v>115</v>
      </c>
      <c r="D48" s="163"/>
      <c r="E48" s="35">
        <v>56.43</v>
      </c>
      <c r="F48" s="38">
        <v>1579</v>
      </c>
      <c r="G48" s="4">
        <f t="shared" si="35"/>
        <v>89102.97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 t="shared" si="36"/>
        <v>1821.9230769230778</v>
      </c>
      <c r="N48" s="17">
        <f t="shared" si="3"/>
        <v>82.814685314685349</v>
      </c>
      <c r="O48" s="18">
        <f t="shared" si="4"/>
        <v>0</v>
      </c>
      <c r="P48" s="19">
        <f t="shared" si="5"/>
        <v>-8.0944055944055577</v>
      </c>
      <c r="Q48" s="20">
        <f t="shared" si="6"/>
        <v>0.91096153846153882</v>
      </c>
      <c r="R48" s="170"/>
      <c r="S48" s="27">
        <v>0.24722222222222223</v>
      </c>
      <c r="T48" s="27">
        <v>0.28333333333333333</v>
      </c>
      <c r="U48" s="4">
        <f t="shared" ref="U48:U54" si="38">IF(S48=TIME(17,0,0),"",(S48-T47)*24*60)</f>
        <v>4.9999999999999822</v>
      </c>
      <c r="V48" s="21">
        <f t="shared" si="37"/>
        <v>51.999999999999972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-178.07692307692218</v>
      </c>
      <c r="AF48" s="20">
        <f t="shared" si="9"/>
        <v>0.91096153846153893</v>
      </c>
      <c r="AG48" s="170"/>
    </row>
    <row r="49" spans="1:33" ht="15.75" customHeight="1">
      <c r="A49" s="178" t="s">
        <v>72</v>
      </c>
      <c r="B49" s="35" t="s">
        <v>78</v>
      </c>
      <c r="C49" s="174" t="s">
        <v>116</v>
      </c>
      <c r="D49" s="175"/>
      <c r="E49" s="35">
        <v>51.75</v>
      </c>
      <c r="F49" s="38">
        <v>1159</v>
      </c>
      <c r="G49" s="4">
        <f t="shared" si="35"/>
        <v>59978.25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si="36"/>
        <v>1829.9999999999986</v>
      </c>
      <c r="N49" s="17">
        <f t="shared" si="3"/>
        <v>73.199999999999946</v>
      </c>
      <c r="O49" s="18">
        <f t="shared" si="4"/>
        <v>0</v>
      </c>
      <c r="P49" s="19">
        <f t="shared" si="5"/>
        <v>-6.800000000000054</v>
      </c>
      <c r="Q49" s="20">
        <f t="shared" si="6"/>
        <v>0.91499999999999937</v>
      </c>
      <c r="R49" s="170"/>
      <c r="S49" s="27">
        <v>0.28680555555555554</v>
      </c>
      <c r="T49" s="27">
        <v>0.31319444444444444</v>
      </c>
      <c r="U49" s="4">
        <f t="shared" si="38"/>
        <v>4.9999999999999822</v>
      </c>
      <c r="V49" s="21">
        <f t="shared" si="37"/>
        <v>38.000000000000028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-170.00000000000136</v>
      </c>
      <c r="AF49" s="20">
        <f t="shared" si="9"/>
        <v>0.91499999999999937</v>
      </c>
      <c r="AG49" s="170"/>
    </row>
    <row r="50" spans="1:33" ht="15.75" customHeight="1">
      <c r="A50" s="178" t="s">
        <v>72</v>
      </c>
      <c r="B50" s="35" t="s">
        <v>78</v>
      </c>
      <c r="C50" s="39" t="s">
        <v>117</v>
      </c>
      <c r="D50" s="40"/>
      <c r="E50" s="35">
        <v>54.09</v>
      </c>
      <c r="F50" s="38">
        <v>1118</v>
      </c>
      <c r="G50" s="4">
        <f t="shared" si="35"/>
        <v>60472.62</v>
      </c>
      <c r="H50" s="21" t="s">
        <v>133</v>
      </c>
      <c r="I50" s="15">
        <v>19</v>
      </c>
      <c r="J50" s="17">
        <v>2000</v>
      </c>
      <c r="K50" s="16">
        <f t="shared" si="1"/>
        <v>105.26315789473684</v>
      </c>
      <c r="L50" s="15">
        <v>19</v>
      </c>
      <c r="M50" s="17">
        <f t="shared" si="36"/>
        <v>1812.9729729729715</v>
      </c>
      <c r="N50" s="17">
        <f t="shared" si="3"/>
        <v>95.419630156472181</v>
      </c>
      <c r="O50" s="18">
        <f t="shared" si="4"/>
        <v>0</v>
      </c>
      <c r="P50" s="19">
        <f t="shared" si="5"/>
        <v>-9.8435277382646547</v>
      </c>
      <c r="Q50" s="20">
        <f t="shared" si="6"/>
        <v>0.90648648648648578</v>
      </c>
      <c r="R50" s="170"/>
      <c r="S50" s="27">
        <v>0.31874999999999998</v>
      </c>
      <c r="T50" s="27">
        <v>0.34444444444444444</v>
      </c>
      <c r="U50" s="4">
        <f t="shared" si="38"/>
        <v>7.9999999999999716</v>
      </c>
      <c r="V50" s="21">
        <f t="shared" si="37"/>
        <v>37.000000000000028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-187.02702702702845</v>
      </c>
      <c r="AF50" s="20">
        <f t="shared" si="9"/>
        <v>0.90648648648648578</v>
      </c>
      <c r="AG50" s="170"/>
    </row>
    <row r="51" spans="1:33" ht="15.75" customHeight="1">
      <c r="A51" s="178" t="s">
        <v>72</v>
      </c>
      <c r="B51" s="35" t="s">
        <v>78</v>
      </c>
      <c r="C51" s="39" t="s">
        <v>118</v>
      </c>
      <c r="D51" s="40"/>
      <c r="E51" s="35">
        <v>57.73</v>
      </c>
      <c r="F51" s="38">
        <v>1096</v>
      </c>
      <c r="G51" s="4">
        <f t="shared" si="35"/>
        <v>63272.079999999994</v>
      </c>
      <c r="H51" s="21" t="s">
        <v>133</v>
      </c>
      <c r="I51" s="15">
        <v>16</v>
      </c>
      <c r="J51" s="17">
        <v>1500</v>
      </c>
      <c r="K51" s="16">
        <f t="shared" si="1"/>
        <v>93.75</v>
      </c>
      <c r="L51" s="15">
        <v>16</v>
      </c>
      <c r="M51" s="17">
        <f t="shared" si="36"/>
        <v>1461.3333333333333</v>
      </c>
      <c r="N51" s="17">
        <f t="shared" si="3"/>
        <v>91.333333333333329</v>
      </c>
      <c r="O51" s="18">
        <f t="shared" si="4"/>
        <v>0</v>
      </c>
      <c r="P51" s="19">
        <f t="shared" si="5"/>
        <v>-2.4166666666666714</v>
      </c>
      <c r="Q51" s="20">
        <f t="shared" si="6"/>
        <v>0.97422222222222221</v>
      </c>
      <c r="R51" s="170"/>
      <c r="S51" s="27">
        <v>0.70833333333333337</v>
      </c>
      <c r="T51" s="27">
        <v>0.73958333333333337</v>
      </c>
      <c r="U51" s="4" t="str">
        <f t="shared" si="38"/>
        <v/>
      </c>
      <c r="V51" s="21">
        <f t="shared" si="37"/>
        <v>45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-38.666666666666742</v>
      </c>
      <c r="AF51" s="20">
        <f t="shared" si="9"/>
        <v>0.97422222222222221</v>
      </c>
      <c r="AG51" s="170"/>
    </row>
    <row r="52" spans="1:33" ht="15.75" customHeight="1">
      <c r="A52" s="178" t="s">
        <v>1252</v>
      </c>
      <c r="B52" s="35" t="s">
        <v>78</v>
      </c>
      <c r="C52" s="174" t="s">
        <v>119</v>
      </c>
      <c r="D52" s="175"/>
      <c r="E52" s="35">
        <v>54.29</v>
      </c>
      <c r="F52" s="38">
        <v>1143</v>
      </c>
      <c r="G52" s="4">
        <f t="shared" si="35"/>
        <v>62053.47</v>
      </c>
      <c r="H52" s="21" t="s">
        <v>133</v>
      </c>
      <c r="I52" s="15">
        <v>20</v>
      </c>
      <c r="J52" s="17">
        <v>2000</v>
      </c>
      <c r="K52" s="16">
        <f t="shared" si="1"/>
        <v>100</v>
      </c>
      <c r="L52" s="15">
        <v>20</v>
      </c>
      <c r="M52" s="17">
        <f t="shared" si="36"/>
        <v>1904.9999999999984</v>
      </c>
      <c r="N52" s="17">
        <f t="shared" si="3"/>
        <v>95.249999999999915</v>
      </c>
      <c r="O52" s="18">
        <f t="shared" si="4"/>
        <v>0</v>
      </c>
      <c r="P52" s="19">
        <f t="shared" si="5"/>
        <v>-4.7500000000000853</v>
      </c>
      <c r="Q52" s="20">
        <f t="shared" si="6"/>
        <v>0.95249999999999913</v>
      </c>
      <c r="R52" s="170"/>
      <c r="S52" s="27">
        <v>0.74513888888888891</v>
      </c>
      <c r="T52" s="27">
        <v>0.77013888888888893</v>
      </c>
      <c r="U52" s="4">
        <f t="shared" si="38"/>
        <v>7.9999999999999716</v>
      </c>
      <c r="V52" s="21">
        <f t="shared" si="37"/>
        <v>36.000000000000028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-95.000000000001592</v>
      </c>
      <c r="AF52" s="20">
        <f t="shared" si="9"/>
        <v>0.95249999999999924</v>
      </c>
      <c r="AG52" s="170"/>
    </row>
    <row r="53" spans="1:33" ht="15.75" customHeight="1">
      <c r="A53" s="178" t="s">
        <v>72</v>
      </c>
      <c r="B53" s="35" t="s">
        <v>78</v>
      </c>
      <c r="C53" s="174" t="s">
        <v>120</v>
      </c>
      <c r="D53" s="175"/>
      <c r="E53" s="35">
        <v>55.56</v>
      </c>
      <c r="F53" s="38">
        <v>1792</v>
      </c>
      <c r="G53" s="4">
        <f t="shared" si="35"/>
        <v>99563.520000000004</v>
      </c>
      <c r="H53" s="21" t="s">
        <v>133</v>
      </c>
      <c r="I53" s="15">
        <v>17</v>
      </c>
      <c r="J53" s="17">
        <v>2000</v>
      </c>
      <c r="K53" s="16">
        <f t="shared" si="1"/>
        <v>117.64705882352941</v>
      </c>
      <c r="L53" s="15">
        <v>17</v>
      </c>
      <c r="M53" s="17">
        <f t="shared" si="36"/>
        <v>1920.0000000000014</v>
      </c>
      <c r="N53" s="17">
        <f t="shared" si="3"/>
        <v>112.94117647058832</v>
      </c>
      <c r="O53" s="18">
        <f t="shared" si="4"/>
        <v>0</v>
      </c>
      <c r="P53" s="19">
        <f t="shared" si="5"/>
        <v>-4.7058823529410887</v>
      </c>
      <c r="Q53" s="20">
        <f t="shared" si="6"/>
        <v>0.96000000000000074</v>
      </c>
      <c r="R53" s="170"/>
      <c r="S53" s="27">
        <v>0.77430555555555558</v>
      </c>
      <c r="T53" s="27">
        <v>0.81319444444444444</v>
      </c>
      <c r="U53" s="4">
        <f t="shared" si="38"/>
        <v>5.9999999999999787</v>
      </c>
      <c r="V53" s="21">
        <f t="shared" si="37"/>
        <v>55.999999999999957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-79.999999999998636</v>
      </c>
      <c r="AF53" s="20">
        <f t="shared" si="9"/>
        <v>0.96000000000000063</v>
      </c>
      <c r="AG53" s="170"/>
    </row>
    <row r="54" spans="1:33" ht="15.75" customHeight="1">
      <c r="A54" s="178" t="s">
        <v>72</v>
      </c>
      <c r="B54" s="35" t="s">
        <v>78</v>
      </c>
      <c r="C54" s="174" t="s">
        <v>121</v>
      </c>
      <c r="D54" s="175"/>
      <c r="E54" s="35">
        <v>55.32</v>
      </c>
      <c r="F54" s="38">
        <v>1254</v>
      </c>
      <c r="G54" s="4">
        <f t="shared" si="35"/>
        <v>69371.28</v>
      </c>
      <c r="H54" s="21" t="s">
        <v>133</v>
      </c>
      <c r="I54" s="15">
        <v>15</v>
      </c>
      <c r="J54" s="17">
        <v>2000</v>
      </c>
      <c r="K54" s="16">
        <f t="shared" si="1"/>
        <v>133.33333333333334</v>
      </c>
      <c r="L54" s="15">
        <v>15</v>
      </c>
      <c r="M54" s="17">
        <f t="shared" si="36"/>
        <v>1929.2307692307684</v>
      </c>
      <c r="N54" s="17">
        <f t="shared" si="3"/>
        <v>128.61538461538456</v>
      </c>
      <c r="O54" s="18">
        <f t="shared" si="4"/>
        <v>0</v>
      </c>
      <c r="P54" s="19">
        <f t="shared" si="5"/>
        <v>-4.7179487179487865</v>
      </c>
      <c r="Q54" s="20">
        <f t="shared" si="6"/>
        <v>0.9646153846153841</v>
      </c>
      <c r="R54" s="170"/>
      <c r="S54" s="27">
        <v>0.81666666666666665</v>
      </c>
      <c r="T54" s="27">
        <v>0.84375</v>
      </c>
      <c r="U54" s="4">
        <f t="shared" si="38"/>
        <v>4.9999999999999822</v>
      </c>
      <c r="V54" s="21">
        <f t="shared" si="37"/>
        <v>39.000000000000021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-70.769230769231626</v>
      </c>
      <c r="AF54" s="20">
        <f t="shared" si="9"/>
        <v>0.96461538461538421</v>
      </c>
      <c r="AG54" s="170"/>
    </row>
    <row r="55" spans="1:33">
      <c r="A55" s="179" t="s">
        <v>72</v>
      </c>
      <c r="B55" s="35" t="s">
        <v>48</v>
      </c>
      <c r="C55" s="171"/>
      <c r="D55" s="171"/>
      <c r="E55" s="36"/>
      <c r="F55" s="16"/>
      <c r="G55" s="16"/>
      <c r="H55" s="4"/>
      <c r="I55" s="29">
        <v>18.875</v>
      </c>
      <c r="J55" s="17">
        <v>1937.5</v>
      </c>
      <c r="K55" s="16">
        <f t="shared" si="1"/>
        <v>102.64900662251655</v>
      </c>
      <c r="L55" s="29">
        <v>18.875</v>
      </c>
      <c r="M55" s="17">
        <f>AVERAGE(M47:M54)</f>
        <v>1823.8810484692833</v>
      </c>
      <c r="N55" s="16">
        <f t="shared" si="3"/>
        <v>96.629459521551439</v>
      </c>
      <c r="O55" s="18">
        <f t="shared" si="4"/>
        <v>0</v>
      </c>
      <c r="P55" s="19">
        <f t="shared" si="5"/>
        <v>-6.0195471009651129</v>
      </c>
      <c r="Q55" s="20">
        <f t="shared" si="6"/>
        <v>0.94135796050027531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v>8</v>
      </c>
      <c r="AD55" s="30">
        <f>SUM(AD47:AD54)</f>
        <v>0</v>
      </c>
      <c r="AE55" s="18">
        <f>M55-J55</f>
        <v>-113.61895153071669</v>
      </c>
      <c r="AF55" s="20">
        <f t="shared" si="9"/>
        <v>0.9413579605002752</v>
      </c>
      <c r="AG55" s="170"/>
    </row>
    <row r="56" spans="1:33" ht="15.75" customHeight="1">
      <c r="A56" s="172" t="s">
        <v>1253</v>
      </c>
      <c r="B56" s="4" t="s">
        <v>84</v>
      </c>
      <c r="C56" s="163" t="s">
        <v>122</v>
      </c>
      <c r="D56" s="163"/>
      <c r="E56" s="35">
        <v>26.97</v>
      </c>
      <c r="F56" s="38">
        <v>2653</v>
      </c>
      <c r="G56" s="4">
        <f t="shared" ref="G56:G59" si="39">E56*F56</f>
        <v>71551.41</v>
      </c>
      <c r="H56" s="21" t="s">
        <v>133</v>
      </c>
      <c r="I56" s="15">
        <v>8</v>
      </c>
      <c r="J56" s="17">
        <v>1500</v>
      </c>
      <c r="K56" s="16">
        <f t="shared" si="1"/>
        <v>187.5</v>
      </c>
      <c r="L56" s="15">
        <v>8</v>
      </c>
      <c r="M56" s="17">
        <f t="shared" ref="M56:M59" si="40">F56/V56*60</f>
        <v>1434.0540540540544</v>
      </c>
      <c r="N56" s="16">
        <f t="shared" si="3"/>
        <v>179.2567567567568</v>
      </c>
      <c r="O56" s="18">
        <f t="shared" si="4"/>
        <v>0</v>
      </c>
      <c r="P56" s="19">
        <f t="shared" si="5"/>
        <v>-8.2432432432431995</v>
      </c>
      <c r="Q56" s="20">
        <f t="shared" si="6"/>
        <v>0.95603603603603626</v>
      </c>
      <c r="R56" s="170">
        <f>Q60</f>
        <v>0.96159312877861103</v>
      </c>
      <c r="S56" s="27">
        <v>0.20833333333333334</v>
      </c>
      <c r="T56" s="27">
        <v>0.28541666666666665</v>
      </c>
      <c r="U56" s="4"/>
      <c r="V56" s="21">
        <f t="shared" ref="V56:V59" si="41">(T56-S56)*24*60</f>
        <v>110.99999999999997</v>
      </c>
      <c r="W56" s="27"/>
      <c r="X56" s="27"/>
      <c r="Y56" s="27"/>
      <c r="Z56" s="27"/>
      <c r="AA56" s="162"/>
      <c r="AB56" s="162"/>
      <c r="AC56" s="24">
        <v>4</v>
      </c>
      <c r="AD56" s="24"/>
      <c r="AE56" s="18">
        <f t="shared" ref="AE56:AE66" si="42">M56-J56</f>
        <v>-65.945945945945596</v>
      </c>
      <c r="AF56" s="20">
        <f t="shared" si="9"/>
        <v>0.95603603603603626</v>
      </c>
      <c r="AG56" s="170">
        <f>AF60</f>
        <v>0.96159312877861103</v>
      </c>
    </row>
    <row r="57" spans="1:33" ht="15.75" customHeight="1">
      <c r="A57" s="172" t="s">
        <v>1253</v>
      </c>
      <c r="B57" s="4" t="s">
        <v>108</v>
      </c>
      <c r="C57" s="163" t="s">
        <v>125</v>
      </c>
      <c r="D57" s="163"/>
      <c r="E57" s="35">
        <v>37.85</v>
      </c>
      <c r="F57" s="38">
        <v>1486</v>
      </c>
      <c r="G57" s="4">
        <f t="shared" si="39"/>
        <v>56245.1</v>
      </c>
      <c r="H57" s="21" t="s">
        <v>133</v>
      </c>
      <c r="I57" s="15">
        <v>12</v>
      </c>
      <c r="J57" s="17">
        <v>2000</v>
      </c>
      <c r="K57" s="16">
        <f t="shared" si="1"/>
        <v>166.66666666666666</v>
      </c>
      <c r="L57" s="15">
        <v>12</v>
      </c>
      <c r="M57" s="17">
        <f t="shared" si="40"/>
        <v>1938.2608695652173</v>
      </c>
      <c r="N57" s="16">
        <f t="shared" si="3"/>
        <v>161.52173913043478</v>
      </c>
      <c r="O57" s="18">
        <f t="shared" si="4"/>
        <v>0</v>
      </c>
      <c r="P57" s="19">
        <f t="shared" si="5"/>
        <v>-5.1449275362318758</v>
      </c>
      <c r="Q57" s="20">
        <f t="shared" si="6"/>
        <v>0.96913043478260874</v>
      </c>
      <c r="R57" s="170"/>
      <c r="S57" s="27">
        <v>0.2895833333333333</v>
      </c>
      <c r="T57" s="27">
        <v>0.32152777777777775</v>
      </c>
      <c r="U57" s="4">
        <f t="shared" ref="U57:U59" si="43">(S57-T56)*24*60</f>
        <v>5.9999999999999787</v>
      </c>
      <c r="V57" s="21">
        <f t="shared" si="41"/>
        <v>46</v>
      </c>
      <c r="W57" s="4"/>
      <c r="X57" s="4"/>
      <c r="Y57" s="4"/>
      <c r="Z57" s="4"/>
      <c r="AA57" s="162"/>
      <c r="AB57" s="162"/>
      <c r="AC57" s="24"/>
      <c r="AD57" s="24"/>
      <c r="AE57" s="18">
        <f t="shared" si="42"/>
        <v>-61.739130434782737</v>
      </c>
      <c r="AF57" s="20">
        <f t="shared" si="9"/>
        <v>0.96913043478260863</v>
      </c>
      <c r="AG57" s="170"/>
    </row>
    <row r="58" spans="1:33" ht="15.75" customHeight="1">
      <c r="A58" s="172" t="s">
        <v>1253</v>
      </c>
      <c r="B58" s="4" t="s">
        <v>108</v>
      </c>
      <c r="C58" s="163" t="s">
        <v>126</v>
      </c>
      <c r="D58" s="163"/>
      <c r="E58" s="35">
        <v>34.36</v>
      </c>
      <c r="F58" s="38">
        <v>1494</v>
      </c>
      <c r="G58" s="4">
        <f t="shared" si="39"/>
        <v>51333.84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0"/>
        <v>2891.6129032258091</v>
      </c>
      <c r="N58" s="16">
        <f t="shared" si="3"/>
        <v>289.1612903225809</v>
      </c>
      <c r="O58" s="18">
        <f t="shared" si="4"/>
        <v>0</v>
      </c>
      <c r="P58" s="19">
        <f t="shared" si="5"/>
        <v>-10.838709677419104</v>
      </c>
      <c r="Q58" s="20">
        <f t="shared" si="6"/>
        <v>0.96387096774193637</v>
      </c>
      <c r="R58" s="170"/>
      <c r="S58" s="27">
        <v>0.3256944444444444</v>
      </c>
      <c r="T58" s="27">
        <v>0.34722222222222215</v>
      </c>
      <c r="U58" s="4">
        <f t="shared" si="43"/>
        <v>5.9999999999999787</v>
      </c>
      <c r="V58" s="21">
        <f t="shared" si="41"/>
        <v>30.999999999999972</v>
      </c>
      <c r="W58" s="4"/>
      <c r="X58" s="4"/>
      <c r="Y58" s="4"/>
      <c r="Z58" s="4"/>
      <c r="AA58" s="162"/>
      <c r="AB58" s="162"/>
      <c r="AC58" s="24"/>
      <c r="AD58" s="24"/>
      <c r="AE58" s="18">
        <f t="shared" si="42"/>
        <v>-108.38709677419092</v>
      </c>
      <c r="AF58" s="20">
        <f t="shared" si="9"/>
        <v>0.96387096774193637</v>
      </c>
      <c r="AG58" s="170"/>
    </row>
    <row r="59" spans="1:33" ht="15.75" customHeight="1">
      <c r="A59" s="172" t="s">
        <v>1254</v>
      </c>
      <c r="B59" s="4" t="s">
        <v>108</v>
      </c>
      <c r="C59" s="163" t="s">
        <v>127</v>
      </c>
      <c r="D59" s="163"/>
      <c r="E59" s="35">
        <v>35.119999999999997</v>
      </c>
      <c r="F59" s="38">
        <v>5551</v>
      </c>
      <c r="G59" s="4">
        <f t="shared" si="39"/>
        <v>194951.12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0"/>
        <v>2871.2068965517246</v>
      </c>
      <c r="N59" s="16">
        <f t="shared" si="3"/>
        <v>287.12068965517244</v>
      </c>
      <c r="O59" s="18">
        <f t="shared" si="4"/>
        <v>0</v>
      </c>
      <c r="P59" s="19">
        <f t="shared" si="5"/>
        <v>-12.879310344827559</v>
      </c>
      <c r="Q59" s="20">
        <f t="shared" si="6"/>
        <v>0.95706896551724152</v>
      </c>
      <c r="R59" s="170"/>
      <c r="S59" s="27">
        <v>0.35208333333333325</v>
      </c>
      <c r="T59" s="27">
        <v>0.4326388888888888</v>
      </c>
      <c r="U59" s="4">
        <f t="shared" si="43"/>
        <v>6.9999999999999751</v>
      </c>
      <c r="V59" s="21">
        <f t="shared" si="41"/>
        <v>115.99999999999999</v>
      </c>
      <c r="W59" s="4"/>
      <c r="X59" s="4"/>
      <c r="Y59" s="4"/>
      <c r="Z59" s="4"/>
      <c r="AA59" s="162"/>
      <c r="AB59" s="162"/>
      <c r="AC59" s="24"/>
      <c r="AD59" s="24"/>
      <c r="AE59" s="18">
        <f t="shared" si="42"/>
        <v>-128.79310344827536</v>
      </c>
      <c r="AF59" s="20">
        <f t="shared" si="9"/>
        <v>0.95706896551724152</v>
      </c>
      <c r="AG59" s="170"/>
    </row>
    <row r="60" spans="1:33">
      <c r="A60" s="173" t="s">
        <v>1253</v>
      </c>
      <c r="B60" s="35" t="s">
        <v>48</v>
      </c>
      <c r="C60" s="171"/>
      <c r="D60" s="171"/>
      <c r="E60" s="36"/>
      <c r="F60" s="16"/>
      <c r="G60" s="16"/>
      <c r="H60" s="4"/>
      <c r="I60" s="29">
        <v>10</v>
      </c>
      <c r="J60" s="17">
        <v>2375</v>
      </c>
      <c r="K60" s="16">
        <f t="shared" si="1"/>
        <v>237.5</v>
      </c>
      <c r="L60" s="29">
        <v>10</v>
      </c>
      <c r="M60" s="17">
        <f>AVERAGE(M56:M59)</f>
        <v>2283.7836808492011</v>
      </c>
      <c r="N60" s="16">
        <f t="shared" si="3"/>
        <v>228.37836808492011</v>
      </c>
      <c r="O60" s="18">
        <f t="shared" si="4"/>
        <v>0</v>
      </c>
      <c r="P60" s="19">
        <f t="shared" si="5"/>
        <v>-9.1216319150798881</v>
      </c>
      <c r="Q60" s="20">
        <f t="shared" si="6"/>
        <v>0.96159312877861103</v>
      </c>
      <c r="R60" s="170"/>
      <c r="S60" s="27"/>
      <c r="T60" s="27"/>
      <c r="U60" s="16"/>
      <c r="V60" s="21"/>
      <c r="W60" s="16"/>
      <c r="X60" s="16"/>
      <c r="Y60" s="30">
        <f>SUM(Y56:Y59)</f>
        <v>0</v>
      </c>
      <c r="Z60" s="30">
        <f>SUM(Z56:Z59)</f>
        <v>0</v>
      </c>
      <c r="AA60" s="166"/>
      <c r="AB60" s="166"/>
      <c r="AC60" s="30">
        <v>4</v>
      </c>
      <c r="AD60" s="30">
        <f>SUM(AD56:AD59)</f>
        <v>0</v>
      </c>
      <c r="AE60" s="18">
        <f t="shared" si="42"/>
        <v>-91.216319150798881</v>
      </c>
      <c r="AF60" s="20">
        <f t="shared" si="9"/>
        <v>0.96159312877861103</v>
      </c>
      <c r="AG60" s="170"/>
    </row>
    <row r="61" spans="1:33" ht="15.75" customHeight="1">
      <c r="A61" s="167" t="s">
        <v>75</v>
      </c>
      <c r="B61" s="4" t="s">
        <v>97</v>
      </c>
      <c r="C61" s="163" t="s">
        <v>128</v>
      </c>
      <c r="D61" s="163"/>
      <c r="E61" s="35">
        <v>20.2</v>
      </c>
      <c r="F61" s="4">
        <v>1595</v>
      </c>
      <c r="G61" s="4">
        <f t="shared" ref="G61:G65" si="44">E61*F61</f>
        <v>32219</v>
      </c>
      <c r="H61" s="21" t="s">
        <v>133</v>
      </c>
      <c r="I61" s="15">
        <v>15</v>
      </c>
      <c r="J61" s="17">
        <v>2400</v>
      </c>
      <c r="K61" s="16">
        <f t="shared" si="1"/>
        <v>160</v>
      </c>
      <c r="L61" s="15">
        <v>15</v>
      </c>
      <c r="M61" s="17">
        <f t="shared" ref="M61:M65" si="45">F61/V61*60</f>
        <v>2334.146341463414</v>
      </c>
      <c r="N61" s="16">
        <f t="shared" si="3"/>
        <v>155.60975609756093</v>
      </c>
      <c r="O61" s="18">
        <f t="shared" si="4"/>
        <v>0</v>
      </c>
      <c r="P61" s="19">
        <f t="shared" si="5"/>
        <v>-4.3902439024390674</v>
      </c>
      <c r="Q61" s="20">
        <f t="shared" si="6"/>
        <v>0.97256097560975585</v>
      </c>
      <c r="R61" s="170">
        <f>Q66</f>
        <v>0.95897083063072586</v>
      </c>
      <c r="S61" s="27">
        <v>0.125</v>
      </c>
      <c r="T61" s="27">
        <v>0.15347222222222223</v>
      </c>
      <c r="U61" s="27"/>
      <c r="V61" s="21">
        <f t="shared" ref="V61:V65" si="46">(T61-S61)*24*60</f>
        <v>41.000000000000014</v>
      </c>
      <c r="W61" s="22">
        <f>T61</f>
        <v>0.15347222222222223</v>
      </c>
      <c r="X61" s="22">
        <f>S62</f>
        <v>0.17430555555555557</v>
      </c>
      <c r="Y61" s="22"/>
      <c r="Z61" s="22"/>
      <c r="AA61" s="162"/>
      <c r="AB61" s="162"/>
      <c r="AC61" s="24">
        <v>5</v>
      </c>
      <c r="AD61" s="24"/>
      <c r="AE61" s="18">
        <f t="shared" si="42"/>
        <v>-65.853658536585954</v>
      </c>
      <c r="AF61" s="20">
        <f t="shared" si="9"/>
        <v>0.97256097560975585</v>
      </c>
      <c r="AG61" s="170">
        <f>AF66</f>
        <v>0.95897083063072575</v>
      </c>
    </row>
    <row r="62" spans="1:33" ht="15.75" customHeight="1">
      <c r="A62" s="168" t="s">
        <v>75</v>
      </c>
      <c r="B62" s="4" t="s">
        <v>97</v>
      </c>
      <c r="C62" s="163" t="s">
        <v>129</v>
      </c>
      <c r="D62" s="163"/>
      <c r="E62" s="35">
        <v>24.45</v>
      </c>
      <c r="F62" s="4">
        <v>2211</v>
      </c>
      <c r="G62" s="4">
        <f t="shared" si="44"/>
        <v>54058.95</v>
      </c>
      <c r="H62" s="21" t="s">
        <v>133</v>
      </c>
      <c r="I62" s="15">
        <v>19</v>
      </c>
      <c r="J62" s="17">
        <v>2400</v>
      </c>
      <c r="K62" s="16">
        <f t="shared" si="1"/>
        <v>126.31578947368421</v>
      </c>
      <c r="L62" s="15">
        <v>19</v>
      </c>
      <c r="M62" s="17">
        <f t="shared" si="45"/>
        <v>2287.2413793103451</v>
      </c>
      <c r="N62" s="16">
        <f t="shared" si="3"/>
        <v>120.38112522686026</v>
      </c>
      <c r="O62" s="18">
        <f t="shared" si="4"/>
        <v>0</v>
      </c>
      <c r="P62" s="19">
        <f t="shared" si="5"/>
        <v>-5.9346642468239423</v>
      </c>
      <c r="Q62" s="20">
        <f t="shared" si="6"/>
        <v>0.95301724137931043</v>
      </c>
      <c r="R62" s="170"/>
      <c r="S62" s="27">
        <v>0.17430555555555557</v>
      </c>
      <c r="T62" s="27">
        <v>0.21458333333333335</v>
      </c>
      <c r="U62" s="4">
        <f t="shared" ref="U62:U65" si="47">(S62-T61)*24*60</f>
        <v>30.000000000000014</v>
      </c>
      <c r="V62" s="21">
        <f t="shared" si="46"/>
        <v>57.999999999999993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2"/>
        <v>-112.75862068965489</v>
      </c>
      <c r="AF62" s="20">
        <f t="shared" si="9"/>
        <v>0.95301724137931043</v>
      </c>
      <c r="AG62" s="170"/>
    </row>
    <row r="63" spans="1:33" ht="15.75" customHeight="1">
      <c r="A63" s="168" t="s">
        <v>1255</v>
      </c>
      <c r="B63" s="4" t="s">
        <v>97</v>
      </c>
      <c r="C63" s="163" t="s">
        <v>130</v>
      </c>
      <c r="D63" s="163"/>
      <c r="E63" s="35">
        <v>24.43</v>
      </c>
      <c r="F63" s="4">
        <v>5336</v>
      </c>
      <c r="G63" s="4">
        <f t="shared" si="44"/>
        <v>130358.48</v>
      </c>
      <c r="H63" s="21" t="s">
        <v>133</v>
      </c>
      <c r="I63" s="15">
        <v>14</v>
      </c>
      <c r="J63" s="17">
        <v>2400</v>
      </c>
      <c r="K63" s="16">
        <f t="shared" si="1"/>
        <v>171.42857142857142</v>
      </c>
      <c r="L63" s="15">
        <v>14</v>
      </c>
      <c r="M63" s="17">
        <f t="shared" si="45"/>
        <v>2286.8571428571422</v>
      </c>
      <c r="N63" s="16">
        <f t="shared" si="3"/>
        <v>163.34693877551015</v>
      </c>
      <c r="O63" s="18">
        <f t="shared" si="4"/>
        <v>0</v>
      </c>
      <c r="P63" s="19">
        <f t="shared" si="5"/>
        <v>-8.0816326530612628</v>
      </c>
      <c r="Q63" s="20">
        <f t="shared" si="6"/>
        <v>0.95285714285714262</v>
      </c>
      <c r="R63" s="170"/>
      <c r="S63" s="27">
        <v>0.21875000000000003</v>
      </c>
      <c r="T63" s="27">
        <v>0.31597222222222227</v>
      </c>
      <c r="U63" s="4">
        <f t="shared" si="47"/>
        <v>6.0000000000000187</v>
      </c>
      <c r="V63" s="21">
        <f t="shared" si="46"/>
        <v>140.00000000000003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2"/>
        <v>-113.14285714285779</v>
      </c>
      <c r="AF63" s="20">
        <f t="shared" si="9"/>
        <v>0.95285714285714262</v>
      </c>
      <c r="AG63" s="170"/>
    </row>
    <row r="64" spans="1:33" ht="15.75" customHeight="1">
      <c r="A64" s="168" t="s">
        <v>75</v>
      </c>
      <c r="B64" s="4" t="s">
        <v>97</v>
      </c>
      <c r="C64" s="163" t="s">
        <v>132</v>
      </c>
      <c r="D64" s="163"/>
      <c r="E64" s="35">
        <v>19.02</v>
      </c>
      <c r="F64" s="4">
        <v>7404</v>
      </c>
      <c r="G64" s="4">
        <f t="shared" si="44"/>
        <v>140824.07999999999</v>
      </c>
      <c r="H64" s="21" t="s">
        <v>133</v>
      </c>
      <c r="I64" s="15">
        <v>14</v>
      </c>
      <c r="J64" s="17">
        <v>2400</v>
      </c>
      <c r="K64" s="16">
        <f t="shared" si="1"/>
        <v>171.42857142857142</v>
      </c>
      <c r="L64" s="15">
        <v>14</v>
      </c>
      <c r="M64" s="17">
        <f t="shared" si="45"/>
        <v>2289.8969072164946</v>
      </c>
      <c r="N64" s="16">
        <f t="shared" si="3"/>
        <v>163.56406480117818</v>
      </c>
      <c r="O64" s="18">
        <f t="shared" si="4"/>
        <v>0</v>
      </c>
      <c r="P64" s="19">
        <f t="shared" si="5"/>
        <v>-7.86450662739324</v>
      </c>
      <c r="Q64" s="20">
        <f t="shared" si="6"/>
        <v>0.95412371134020613</v>
      </c>
      <c r="R64" s="170"/>
      <c r="S64" s="27">
        <v>0.32013888888888892</v>
      </c>
      <c r="T64" s="27">
        <v>0.45486111111111116</v>
      </c>
      <c r="U64" s="4">
        <f t="shared" si="47"/>
        <v>5.9999999999999787</v>
      </c>
      <c r="V64" s="21">
        <f t="shared" si="46"/>
        <v>194.00000000000003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2"/>
        <v>-110.10309278350542</v>
      </c>
      <c r="AF64" s="20">
        <f t="shared" si="9"/>
        <v>0.95412371134020613</v>
      </c>
      <c r="AG64" s="170"/>
    </row>
    <row r="65" spans="1:33" ht="15.75" customHeight="1">
      <c r="A65" s="168" t="s">
        <v>1256</v>
      </c>
      <c r="B65" s="4" t="s">
        <v>97</v>
      </c>
      <c r="C65" s="163" t="s">
        <v>106</v>
      </c>
      <c r="D65" s="163"/>
      <c r="E65" s="35">
        <v>20.21</v>
      </c>
      <c r="F65" s="4">
        <v>2348</v>
      </c>
      <c r="G65" s="4">
        <f t="shared" si="44"/>
        <v>47453.08</v>
      </c>
      <c r="H65" s="21" t="s">
        <v>133</v>
      </c>
      <c r="I65" s="15">
        <v>15</v>
      </c>
      <c r="J65" s="17">
        <v>2400</v>
      </c>
      <c r="K65" s="16">
        <f t="shared" si="1"/>
        <v>160</v>
      </c>
      <c r="L65" s="15">
        <v>15</v>
      </c>
      <c r="M65" s="17">
        <f t="shared" si="45"/>
        <v>2309.5081967213137</v>
      </c>
      <c r="N65" s="16">
        <f t="shared" si="3"/>
        <v>153.96721311475423</v>
      </c>
      <c r="O65" s="18">
        <f t="shared" si="4"/>
        <v>0</v>
      </c>
      <c r="P65" s="19">
        <f t="shared" si="5"/>
        <v>-6.0327868852457698</v>
      </c>
      <c r="Q65" s="20">
        <f t="shared" si="6"/>
        <v>0.96229508196721392</v>
      </c>
      <c r="R65" s="170"/>
      <c r="S65" s="27">
        <v>0.45833333333333337</v>
      </c>
      <c r="T65" s="27">
        <v>0.50069444444444444</v>
      </c>
      <c r="U65" s="4">
        <f t="shared" si="47"/>
        <v>4.9999999999999822</v>
      </c>
      <c r="V65" s="21">
        <f t="shared" si="46"/>
        <v>60.999999999999943</v>
      </c>
      <c r="W65" s="22"/>
      <c r="X65" s="22"/>
      <c r="Y65" s="22"/>
      <c r="Z65" s="22"/>
      <c r="AA65" s="162"/>
      <c r="AB65" s="162"/>
      <c r="AC65" s="24"/>
      <c r="AD65" s="24"/>
      <c r="AE65" s="18">
        <f t="shared" si="42"/>
        <v>-90.491803278686348</v>
      </c>
      <c r="AF65" s="20">
        <f t="shared" si="9"/>
        <v>0.96229508196721403</v>
      </c>
      <c r="AG65" s="170"/>
    </row>
    <row r="66" spans="1:33" ht="16.5" customHeight="1">
      <c r="A66" s="169" t="s">
        <v>75</v>
      </c>
      <c r="B66" s="35" t="s">
        <v>1257</v>
      </c>
      <c r="C66" s="164"/>
      <c r="D66" s="165"/>
      <c r="E66" s="36"/>
      <c r="F66" s="16"/>
      <c r="G66" s="16"/>
      <c r="H66" s="4"/>
      <c r="I66" s="29">
        <v>15.4</v>
      </c>
      <c r="J66" s="17">
        <v>2400</v>
      </c>
      <c r="K66" s="16">
        <f t="shared" si="1"/>
        <v>155.84415584415584</v>
      </c>
      <c r="L66" s="29">
        <v>15.4</v>
      </c>
      <c r="M66" s="17">
        <f>AVERAGE(M61:M65)</f>
        <v>2301.5299935137418</v>
      </c>
      <c r="N66" s="16">
        <f t="shared" si="3"/>
        <v>149.44999957881441</v>
      </c>
      <c r="O66" s="18">
        <f t="shared" si="4"/>
        <v>0</v>
      </c>
      <c r="P66" s="19">
        <f t="shared" si="5"/>
        <v>-6.3941562653414223</v>
      </c>
      <c r="Q66" s="20">
        <f t="shared" si="6"/>
        <v>0.95897083063072586</v>
      </c>
      <c r="R66" s="170"/>
      <c r="S66" s="27"/>
      <c r="T66" s="27"/>
      <c r="U66" s="16"/>
      <c r="V66" s="21"/>
      <c r="W66" s="16"/>
      <c r="X66" s="16"/>
      <c r="Y66" s="30">
        <f>SUM(Y61:Y65)</f>
        <v>0</v>
      </c>
      <c r="Z66" s="30">
        <f>SUM(Z61:Z65)</f>
        <v>0</v>
      </c>
      <c r="AA66" s="166"/>
      <c r="AB66" s="166"/>
      <c r="AC66" s="30">
        <v>5</v>
      </c>
      <c r="AD66" s="30">
        <f>SUM(AD61:AD65)</f>
        <v>0</v>
      </c>
      <c r="AE66" s="18">
        <f t="shared" si="42"/>
        <v>-98.470006486258171</v>
      </c>
      <c r="AF66" s="20">
        <f t="shared" si="9"/>
        <v>0.95897083063072575</v>
      </c>
      <c r="AG66" s="170"/>
    </row>
    <row r="67" spans="1:33">
      <c r="D67" s="41"/>
      <c r="E67" s="41"/>
    </row>
  </sheetData>
  <mergeCells count="185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H3:H4"/>
    <mergeCell ref="I3:I4"/>
    <mergeCell ref="AC3:AD3"/>
    <mergeCell ref="C8:D8"/>
    <mergeCell ref="AA8:AB8"/>
    <mergeCell ref="C9:D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G14:AG18"/>
    <mergeCell ref="C18:D18"/>
    <mergeCell ref="AA18:AB18"/>
    <mergeCell ref="A11:A13"/>
    <mergeCell ref="C11:D11"/>
    <mergeCell ref="R11:R13"/>
    <mergeCell ref="AA11:AB11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G5:AG10"/>
    <mergeCell ref="C6:D6"/>
    <mergeCell ref="AA6:AB6"/>
    <mergeCell ref="C10:D10"/>
    <mergeCell ref="AA10:AB10"/>
    <mergeCell ref="C7:D7"/>
    <mergeCell ref="AA7:AB7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14:A18"/>
    <mergeCell ref="C14:D14"/>
    <mergeCell ref="R14:R18"/>
    <mergeCell ref="AA14:AB14"/>
    <mergeCell ref="AG25:AG30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8:AB28"/>
    <mergeCell ref="C29:D29"/>
    <mergeCell ref="AA29:AB29"/>
    <mergeCell ref="C30:D30"/>
    <mergeCell ref="AA30:AB30"/>
    <mergeCell ref="A31:A37"/>
    <mergeCell ref="C31:D31"/>
    <mergeCell ref="R31:R37"/>
    <mergeCell ref="AA31:AB31"/>
    <mergeCell ref="AA36:AB36"/>
    <mergeCell ref="A25:A30"/>
    <mergeCell ref="C25:D25"/>
    <mergeCell ref="R25:R30"/>
    <mergeCell ref="AA25:AB25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37:D37"/>
    <mergeCell ref="AA37:AB37"/>
    <mergeCell ref="AG56:AG60"/>
    <mergeCell ref="A38:A46"/>
    <mergeCell ref="C38:D38"/>
    <mergeCell ref="R38:R46"/>
    <mergeCell ref="AA38:AB38"/>
    <mergeCell ref="AA43:AB43"/>
    <mergeCell ref="C44:D44"/>
    <mergeCell ref="AA44:AB44"/>
    <mergeCell ref="C45:D45"/>
    <mergeCell ref="AG38:AG46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A45:AB45"/>
    <mergeCell ref="C46:D46"/>
    <mergeCell ref="AA46:AB46"/>
    <mergeCell ref="A47:A55"/>
    <mergeCell ref="C47:D47"/>
    <mergeCell ref="R47:R55"/>
    <mergeCell ref="AA47:AB47"/>
    <mergeCell ref="AA53:AB53"/>
    <mergeCell ref="C54:D54"/>
    <mergeCell ref="AA54:AB54"/>
    <mergeCell ref="C55:D55"/>
    <mergeCell ref="AA55:AB55"/>
    <mergeCell ref="AG47:AG55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61:A66"/>
    <mergeCell ref="C61:D61"/>
    <mergeCell ref="R61:R66"/>
    <mergeCell ref="AA61:AB61"/>
    <mergeCell ref="A56:A60"/>
    <mergeCell ref="C56:D56"/>
    <mergeCell ref="R56:R60"/>
    <mergeCell ref="AA56:AB56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A66:AB66"/>
  </mergeCells>
  <phoneticPr fontId="3" type="noConversion"/>
  <conditionalFormatting sqref="O5:O66">
    <cfRule type="cellIs" dxfId="116" priority="9" operator="greaterThan">
      <formula>0</formula>
    </cfRule>
  </conditionalFormatting>
  <conditionalFormatting sqref="P5:P66">
    <cfRule type="cellIs" dxfId="115" priority="1" operator="lessThan">
      <formula>0</formula>
    </cfRule>
  </conditionalFormatting>
  <conditionalFormatting sqref="Q5:Q66 AF5:AF66">
    <cfRule type="cellIs" dxfId="114" priority="10" operator="greaterThan">
      <formula>1</formula>
    </cfRule>
    <cfRule type="cellIs" dxfId="113" priority="11" operator="lessThan">
      <formula>0.8</formula>
    </cfRule>
  </conditionalFormatting>
  <conditionalFormatting sqref="R5:R11 AG5:AG11">
    <cfRule type="cellIs" dxfId="112" priority="59" operator="lessThan">
      <formula>0.8</formula>
    </cfRule>
  </conditionalFormatting>
  <conditionalFormatting sqref="AE5:AE66">
    <cfRule type="cellIs" dxfId="111" priority="12" operator="lessThan">
      <formula>0</formula>
    </cfRule>
  </conditionalFormatting>
  <conditionalFormatting sqref="AG14:AG59 R14:R66">
    <cfRule type="cellIs" dxfId="110" priority="13" operator="lessThan">
      <formula>0.8</formula>
    </cfRule>
  </conditionalFormatting>
  <dataValidations count="1">
    <dataValidation type="list" allowBlank="1" showInputMessage="1" showErrorMessage="1" sqref="AB10 AA5:AB9 AA10:AA59 AB12:AB56 AA60:AB66" xr:uid="{00000000-0002-0000-2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Q32"/>
  <sheetViews>
    <sheetView zoomScale="85" zoomScaleNormal="85" workbookViewId="0">
      <selection activeCell="P22" sqref="P22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1059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198</v>
      </c>
      <c r="C3" s="151" t="str">
        <f>TEXT('0312 4度C'!A2,"yyyy.mm.ddaaaa")</f>
        <v>2026.03.12星期四</v>
      </c>
      <c r="D3" s="152"/>
      <c r="E3" s="45" t="s">
        <v>136</v>
      </c>
      <c r="F3" s="153">
        <f>'0312 4度C'!D1</f>
        <v>144511</v>
      </c>
      <c r="G3" s="154"/>
      <c r="H3" s="45" t="s">
        <v>1060</v>
      </c>
      <c r="I3" s="155">
        <f>'0312 4度C'!F1</f>
        <v>4709506.2699999986</v>
      </c>
      <c r="J3" s="156"/>
      <c r="K3" s="46"/>
      <c r="L3" s="47"/>
      <c r="M3" s="47"/>
      <c r="N3" s="47"/>
    </row>
    <row r="4" spans="2:17" ht="28.5" customHeight="1">
      <c r="B4" s="157" t="s">
        <v>1061</v>
      </c>
      <c r="C4" s="143" t="s">
        <v>1062</v>
      </c>
      <c r="D4" s="144"/>
      <c r="E4" s="160" t="s">
        <v>412</v>
      </c>
      <c r="F4" s="161"/>
      <c r="G4" s="160" t="s">
        <v>413</v>
      </c>
      <c r="H4" s="161"/>
      <c r="I4" s="160" t="s">
        <v>1063</v>
      </c>
      <c r="J4" s="161"/>
      <c r="K4" s="141" t="s">
        <v>143</v>
      </c>
      <c r="L4" s="142"/>
      <c r="M4" s="142" t="s">
        <v>1064</v>
      </c>
      <c r="N4" s="142"/>
    </row>
    <row r="5" spans="2:17" ht="28.5" customHeight="1">
      <c r="B5" s="158"/>
      <c r="C5" s="143" t="s">
        <v>1065</v>
      </c>
      <c r="D5" s="144"/>
      <c r="E5" s="143" t="s">
        <v>1066</v>
      </c>
      <c r="F5" s="144"/>
      <c r="G5" s="145" t="s">
        <v>315</v>
      </c>
      <c r="H5" s="146"/>
      <c r="I5" s="147" t="s">
        <v>1067</v>
      </c>
      <c r="J5" s="148"/>
      <c r="K5" s="48" t="s">
        <v>317</v>
      </c>
      <c r="L5" s="49" t="s">
        <v>1068</v>
      </c>
      <c r="M5" s="48" t="s">
        <v>1069</v>
      </c>
      <c r="N5" s="49" t="s">
        <v>215</v>
      </c>
    </row>
    <row r="6" spans="2:17" ht="28.5" customHeight="1">
      <c r="B6" s="158"/>
      <c r="C6" s="143" t="s">
        <v>153</v>
      </c>
      <c r="D6" s="144"/>
      <c r="E6" s="135">
        <f>AVERAGE(D13:M13)</f>
        <v>150.493830765887</v>
      </c>
      <c r="F6" s="136">
        <f>AVERAGE(D31:O31,D13:J13)</f>
        <v>154.27501709804298</v>
      </c>
      <c r="G6" s="137">
        <f>AVERAGE(D13:J13)</f>
        <v>154.27501709804298</v>
      </c>
      <c r="H6" s="138"/>
      <c r="I6" s="137">
        <f>AVERAGE(K13:M13)</f>
        <v>141.67106265752301</v>
      </c>
      <c r="J6" s="138"/>
      <c r="K6" s="139">
        <f>'0312 4度C'!Y2</f>
        <v>0</v>
      </c>
      <c r="L6" s="124">
        <f>'0312 4度C'!Z2</f>
        <v>0</v>
      </c>
      <c r="M6" s="140">
        <f>'0312 4度C'!AC2</f>
        <v>56</v>
      </c>
      <c r="N6" s="124">
        <f>'0312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143.91040172413688</v>
      </c>
      <c r="F7" s="128">
        <f>AVERAGE(D32:O32,D14:J14)</f>
        <v>147.45892567417837</v>
      </c>
      <c r="G7" s="129">
        <f>AVERAGE(D14:J14)</f>
        <v>147.45892567417837</v>
      </c>
      <c r="H7" s="130"/>
      <c r="I7" s="129">
        <f>AVERAGE(K14:M14)</f>
        <v>135.63051250737348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0.9553767186010711</v>
      </c>
      <c r="F8" s="132">
        <f>AVERAGE(D15:J15,D33:O33)</f>
        <v>0.95452120763745618</v>
      </c>
      <c r="G8" s="133">
        <f>AVERAGE(D15:J15)</f>
        <v>0.95452120763745618</v>
      </c>
      <c r="H8" s="134"/>
      <c r="I8" s="133">
        <f>AVERAGE(K15:M15)</f>
        <v>0.95737291084950604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1070</v>
      </c>
      <c r="N9" s="47"/>
      <c r="O9" s="47"/>
      <c r="P9" s="47"/>
      <c r="Q9" s="47"/>
    </row>
    <row r="10" spans="2:17" ht="30" customHeight="1">
      <c r="B10" s="107" t="s">
        <v>865</v>
      </c>
      <c r="C10" s="108"/>
      <c r="D10" s="109" t="s">
        <v>158</v>
      </c>
      <c r="E10" s="110"/>
      <c r="F10" s="110"/>
      <c r="G10" s="110"/>
      <c r="H10" s="110"/>
      <c r="I10" s="110"/>
      <c r="J10" s="111"/>
      <c r="K10" s="112" t="s">
        <v>726</v>
      </c>
      <c r="L10" s="113"/>
      <c r="M10" s="114"/>
      <c r="P10" s="53"/>
      <c r="Q10" s="53"/>
    </row>
    <row r="11" spans="2:17" ht="17.25" customHeight="1">
      <c r="B11" s="115" t="s">
        <v>1071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1072</v>
      </c>
      <c r="C13" s="60" t="s">
        <v>1073</v>
      </c>
      <c r="D13" s="61">
        <f>SUMIFS('0312 4度C'!$K:$K,'0312 4度C'!$A:$A,"新豐6線",'0312 4度C'!$B:$B,"平均")</f>
        <v>113.63636363636363</v>
      </c>
      <c r="E13" s="62">
        <f>SUMIFS('0312 4度C'!$K:$K,'0312 4度C'!$A:$A,"新豐2線",'0312 4度C'!$B:$B,"平均")</f>
        <v>83.333333333333329</v>
      </c>
      <c r="F13" s="63">
        <f>SUMIFS('0312 4度C'!$K:$K,'0312 4度C'!$A:$A,"新豐5線",'0312 4度C'!$B:$B,"平均")</f>
        <v>102.73972602739725</v>
      </c>
      <c r="G13" s="63">
        <f>SUMIFS('0312 4度C'!$K:$K,'0312 4度C'!$A:$A,"新豐7線",'0312 4度C'!$B:$B,"平均")</f>
        <v>128.37837837837839</v>
      </c>
      <c r="H13" s="63">
        <f>SUMIFS('0312 4度C'!$K:$K,'0312 4度C'!$A:$A,"新豐3線",'0312 4度C'!$B:$B,"平均")</f>
        <v>311.68831168831167</v>
      </c>
      <c r="I13" s="63">
        <f>SUMIFS('0312 4度C'!$K:$K,'0312 4度C'!$A:$A,"新豐1線",'0312 4度C'!$B:$B,"平均")</f>
        <v>102.64900662251655</v>
      </c>
      <c r="J13" s="64">
        <f>SUMIFS('0312 4度C'!$K:$K,'0312 4度C'!$A:$A,"新豐10線",'0312 4度C'!$B:$B,"平均")</f>
        <v>237.5</v>
      </c>
      <c r="K13" s="65">
        <f>SUMIFS('0312 4度C'!$K:$K,'0312 4度C'!$A:$A,"新豐8線",'0312 4度C'!$B:$B,"平均")</f>
        <v>136.17021276595744</v>
      </c>
      <c r="L13" s="66">
        <f>SUMIFS('0312 4度C'!$K:$K,'0312 4度C'!$A:$A,"新豐9線",'0312 4度C'!$B:$B,"平均")</f>
        <v>138.84297520661158</v>
      </c>
      <c r="M13" s="64">
        <f>SUMIFS('0312 4度C'!$K:$K,'0312 4度C'!$A:$A,"新豐4線",'0312 4度C'!$B:$B,"平均")</f>
        <v>150</v>
      </c>
    </row>
    <row r="14" spans="2:17" ht="39.6" customHeight="1">
      <c r="B14" s="120"/>
      <c r="C14" s="67" t="s">
        <v>223</v>
      </c>
      <c r="D14" s="68">
        <f>SUMIFS('0312 4度C'!$N:$N,'0312 4度C'!$A:$A,"新豐6線",'0312 4度C'!$B:$B,"平均")</f>
        <v>107.80420202919377</v>
      </c>
      <c r="E14" s="69">
        <f>SUMIFS('0312 4度C'!$N:$N,'0312 4度C'!$A:$A,"新豐2線",'0312 4度C'!$B:$B,"平均")</f>
        <v>79.74795906634472</v>
      </c>
      <c r="F14" s="69">
        <f>SUMIFS('0312 4度C'!$N:$N,'0312 4度C'!$A:$A,"新豐5線",'0312 4度C'!$B:$B,"平均")</f>
        <v>98.965462507400687</v>
      </c>
      <c r="G14" s="69">
        <f>SUMIFS('0312 4度C'!$N:$N,'0312 4度C'!$A:$A,"新豐7線",'0312 4度C'!$B:$B,"平均")</f>
        <v>123.03062917912543</v>
      </c>
      <c r="H14" s="69">
        <f>SUMIFS('0312 4度C'!$N:$N,'0312 4度C'!$A:$A,"新豐3線",'0312 4度C'!$B:$B,"平均")</f>
        <v>299.30776680549781</v>
      </c>
      <c r="I14" s="69">
        <f>SUMIFS('0312 4度C'!$N:$N,'0312 4度C'!$A:$A,"新豐1線",'0312 4度C'!$B:$B,"平均")</f>
        <v>96.287997737573193</v>
      </c>
      <c r="J14" s="70">
        <f>SUMIFS('0312 4度C'!$N:$N,'0312 4度C'!$A:$A,"新豐10線",'0312 4度C'!$B:$B,"平均")</f>
        <v>227.06846239411303</v>
      </c>
      <c r="K14" s="71">
        <f>SUMIFS('0312 4度C'!$N:$N,'0312 4度C'!$A:$A,"新豐8線",'0312 4度C'!$B:$B,"平均")</f>
        <v>130.51860655879688</v>
      </c>
      <c r="L14" s="72">
        <f>SUMIFS('0312 4度C'!$N:$N,'0312 4度C'!$A:$A,"新豐9線",'0312 4度C'!$B:$B,"平均")</f>
        <v>132.78815052570019</v>
      </c>
      <c r="M14" s="70">
        <f>SUMIFS('0312 4度C'!$N:$N,'0312 4度C'!$A:$A,"新豐4線",'0312 4度C'!$B:$B,"平均")</f>
        <v>143.58478043762338</v>
      </c>
    </row>
    <row r="15" spans="2:17" ht="40.15" customHeight="1">
      <c r="B15" s="121"/>
      <c r="C15" s="73" t="s">
        <v>1074</v>
      </c>
      <c r="D15" s="74">
        <f t="shared" ref="D15:M15" si="0">D14/D13</f>
        <v>0.9486769778569053</v>
      </c>
      <c r="E15" s="75">
        <f t="shared" si="0"/>
        <v>0.95697550879613669</v>
      </c>
      <c r="F15" s="75">
        <f t="shared" si="0"/>
        <v>0.96326383507203339</v>
      </c>
      <c r="G15" s="75">
        <f t="shared" si="0"/>
        <v>0.95834384834266118</v>
      </c>
      <c r="H15" s="75">
        <f t="shared" si="0"/>
        <v>0.96027908516763882</v>
      </c>
      <c r="I15" s="75">
        <f t="shared" si="0"/>
        <v>0.93803146183055175</v>
      </c>
      <c r="J15" s="76">
        <f t="shared" si="0"/>
        <v>0.95607773639626537</v>
      </c>
      <c r="K15" s="74">
        <f t="shared" si="0"/>
        <v>0.95849601691616459</v>
      </c>
      <c r="L15" s="75">
        <f t="shared" si="0"/>
        <v>0.95639084604819768</v>
      </c>
      <c r="M15" s="76">
        <f t="shared" si="0"/>
        <v>0.95723186958415585</v>
      </c>
    </row>
    <row r="16" spans="2:17" ht="17.25" customHeight="1">
      <c r="B16" s="122" t="s">
        <v>1075</v>
      </c>
      <c r="C16" s="77" t="s">
        <v>176</v>
      </c>
      <c r="D16" s="78">
        <f>VLOOKUP("新豐6線",'0312 4度C'!$A:$T,19,0)</f>
        <v>0.70833333333333337</v>
      </c>
      <c r="E16" s="79">
        <f>VLOOKUP("新豐2線",'0312 4度C'!$A:$T,19,0)</f>
        <v>0.20833333333333334</v>
      </c>
      <c r="F16" s="79">
        <f>VLOOKUP("新豐5線",'0312 4度C'!$A:$T,19,0)</f>
        <v>0.20833333333333334</v>
      </c>
      <c r="G16" s="79">
        <f>VLOOKUP("新豐7線",'0312 4度C'!$A:$T,19,0)</f>
        <v>0.20833333333333334</v>
      </c>
      <c r="H16" s="79">
        <f>VLOOKUP("新豐3線",'0312 4度C'!$A:$T,19,0)</f>
        <v>0.20833333333333334</v>
      </c>
      <c r="I16" s="79">
        <f>VLOOKUP("新豐1線",'0312 4度C'!$A:$T,19,0)</f>
        <v>0.20833333333333334</v>
      </c>
      <c r="J16" s="80">
        <f>VLOOKUP("新豐10線",'0312 4度C'!$A:$T,19,0)</f>
        <v>0.20833333333333334</v>
      </c>
      <c r="K16" s="81">
        <f>VLOOKUP("新豐8線",'0312 4度C'!$A:$T,19,0)</f>
        <v>0.125</v>
      </c>
      <c r="L16" s="82">
        <f>VLOOKUP("新豐9線",'0312 4度C'!$A:$T,19,0)</f>
        <v>0.125</v>
      </c>
      <c r="M16" s="83">
        <f>VLOOKUP("新豐4線",'0312 4度C'!$A:$T,19,0)</f>
        <v>0.125</v>
      </c>
    </row>
    <row r="17" spans="2:13" ht="17.25" customHeight="1">
      <c r="B17" s="123"/>
      <c r="C17" s="77" t="s">
        <v>1076</v>
      </c>
      <c r="D17" s="81">
        <f>LOOKUP(2,1/(('0312 4度C'!$A:$A="新豐6線")*('0312 4度C'!$T:$T&lt;&gt;"")),'0312 4度C'!$T:$T)</f>
        <v>0.81805555555555554</v>
      </c>
      <c r="E17" s="79">
        <f>LOOKUP(2,1/(('0312 4度C'!$A:$A="新豐2線")*('0312 4度C'!$T:$T&lt;&gt;"")),'0312 4度C'!$T:$T)</f>
        <v>0.45763888888888887</v>
      </c>
      <c r="F17" s="79">
        <f>LOOKUP(2,1/(('0312 4度C'!$A:$A="新豐5線")*('0312 4度C'!$T:$T&lt;&gt;"")),'0312 4度C'!$T:$T)</f>
        <v>0.81458333333333321</v>
      </c>
      <c r="G17" s="79">
        <f>LOOKUP(2,1/(('0312 4度C'!$A:$A="新豐7線")*('0312 4度C'!$T:$T&lt;&gt;"")),'0312 4度C'!$T:$T)</f>
        <v>0.82777777777777772</v>
      </c>
      <c r="H17" s="79">
        <f>LOOKUP(2,1/(('0312 4度C'!$A:$A="新豐3線")*('0312 4度C'!$T:$T&lt;&gt;"")),'0312 4度C'!$T:$T)</f>
        <v>0.62361111111111089</v>
      </c>
      <c r="I17" s="79">
        <f>LOOKUP(2,1/(('0312 4度C'!$A:$A="新豐1線")*('0312 4度C'!$T:$T&lt;&gt;"")),'0312 4度C'!$T:$T)</f>
        <v>0.83472222222222225</v>
      </c>
      <c r="J17" s="80">
        <f>LOOKUP(2,1/(('0312 4度C'!$A:$A="新豐10線")*('0312 4度C'!$T:$T&lt;&gt;"")),'0312 4度C'!$T:$T)</f>
        <v>0.43888888888888894</v>
      </c>
      <c r="K17" s="78">
        <f>LOOKUP(2,1/(('0312 4度C'!$A:$A="新豐8線")*('0312 4度C'!$T:$T&lt;&gt;"")),'0312 4度C'!$T:$T)</f>
        <v>0.60347222222222219</v>
      </c>
      <c r="L17" s="79">
        <f>LOOKUP(2,1/(('0312 4度C'!$A:$A="新豐9線")*('0312 4度C'!$T:$T&lt;&gt;"")),'0312 4度C'!$T:$T)</f>
        <v>0.66180555555555531</v>
      </c>
      <c r="M17" s="80">
        <f>LOOKUP(2,1/(('0312 4度C'!$A:$A="新豐4線")*('0312 4度C'!$T:$T&lt;&gt;"")),'0312 4度C'!$T:$T)</f>
        <v>0.58125000000000004</v>
      </c>
    </row>
    <row r="18" spans="2:13" ht="17.25" customHeight="1">
      <c r="B18" s="101" t="s">
        <v>1077</v>
      </c>
      <c r="C18" s="84" t="s">
        <v>1078</v>
      </c>
      <c r="D18" s="85">
        <f>SUMIFS('0312 4度C'!$Y:$Y,'0312 4度C'!$A:$A,"新豐6線",'0312 4度C'!$B:$B,"平均")</f>
        <v>0</v>
      </c>
      <c r="E18" s="86">
        <f>SUMIFS('0312 4度C'!$Y:$Y,'0312 4度C'!$A:$A,"新豐2線",'0312 4度C'!$B:$B,"平均")</f>
        <v>0</v>
      </c>
      <c r="F18" s="86">
        <f>SUMIFS('0312 4度C'!$Y:$Y,'0312 4度C'!$A:$A,"新豐5線",'0312 4度C'!$B:$B,"平均")</f>
        <v>0</v>
      </c>
      <c r="G18" s="86">
        <f>SUMIFS('0312 4度C'!$Y:$Y,'0312 4度C'!$A:$A,"新豐7線",'0312 4度C'!$B:$B,"平均")</f>
        <v>0</v>
      </c>
      <c r="H18" s="86">
        <f>SUMIFS('0312 4度C'!$Y:$Y,'0312 4度C'!$A:$A,"新豐3線",'0312 4度C'!$B:$B,"平均")</f>
        <v>0</v>
      </c>
      <c r="I18" s="86">
        <f>SUMIFS('0312 4度C'!$Y:$Y,'0312 4度C'!$A:$A,"新豐1線",'0312 4度C'!$B:$B,"平均")</f>
        <v>0</v>
      </c>
      <c r="J18" s="87">
        <f>SUMIFS('0312 4度C'!$Y:$Y,'0312 4度C'!$A:$A,"新豐10線",'0312 4度C'!$B:$B,"平均")</f>
        <v>0</v>
      </c>
      <c r="K18" s="88">
        <f>SUMIFS('0312 4度C'!$Y:$Y,'0312 4度C'!$A:$A,"新豐8線",'0312 4度C'!$B:$B,"平均")</f>
        <v>0</v>
      </c>
      <c r="L18" s="86">
        <f>SUMIFS('0312 4度C'!$Y:$Y,'0312 4度C'!$A:$A,"新豐9線",'0312 4度C'!$B:$B,"平均")</f>
        <v>0</v>
      </c>
      <c r="M18" s="87">
        <f>SUMIFS('0312 4度C'!$Y:$Y,'0312 4度C'!$A:$A,"新豐4線",'0312 4度C'!$B:$B,"平均")</f>
        <v>0</v>
      </c>
    </row>
    <row r="19" spans="2:13" ht="17.25" customHeight="1">
      <c r="B19" s="102"/>
      <c r="C19" s="84" t="s">
        <v>1079</v>
      </c>
      <c r="D19" s="85">
        <f>SUMIFS('0312 4度C'!$Z:$Z,'0312 4度C'!$A:$A,"新豐6線",'0312 4度C'!$B:$B,"平均")</f>
        <v>0</v>
      </c>
      <c r="E19" s="86">
        <f>SUMIFS('0312 4度C'!$Z:$Z,'0312 4度C'!$A:$A,"新豐2線",'0312 4度C'!$B:$B,"平均")</f>
        <v>0</v>
      </c>
      <c r="F19" s="86">
        <f>SUMIFS('0312 4度C'!$Z:$Z,'0312 4度C'!$A:$A,"新豐5線",'0312 4度C'!$B:$B,"平均")</f>
        <v>0</v>
      </c>
      <c r="G19" s="86">
        <f>SUMIFS('0312 4度C'!$Z:$Z,'0312 4度C'!$A:$A,"新豐7線",'0312 4度C'!$B:$B,"平均")</f>
        <v>0</v>
      </c>
      <c r="H19" s="86">
        <f>SUMIFS('0312 4度C'!$Z:$Z,'0312 4度C'!$A:$A,"新豐3線",'0312 4度C'!$B:$B,"平均")</f>
        <v>0</v>
      </c>
      <c r="I19" s="86">
        <f>SUMIFS('0312 4度C'!$Z:$Z,'0312 4度C'!$A:$A,"新豐1線",'0312 4度C'!$B:$B,"平均")</f>
        <v>0</v>
      </c>
      <c r="J19" s="87">
        <f>SUMIFS('0312 4度C'!$Z:$Z,'0312 4度C'!$A:$A,"新豐10線",'0312 4度C'!$B:$B,"平均")</f>
        <v>0</v>
      </c>
      <c r="K19" s="88">
        <f>SUMIFS('0312 4度C'!$Z:$Z,'0312 4度C'!$A:$A,"新豐8線",'0312 4度C'!$B:$B,"平均")</f>
        <v>0</v>
      </c>
      <c r="L19" s="86">
        <f>SUMIFS('0312 4度C'!$Z:$Z,'0312 4度C'!$A:$A,"新豐9線",'0312 4度C'!$B:$B,"平均")</f>
        <v>0</v>
      </c>
      <c r="M19" s="87">
        <f>SUMIFS('0312 4度C'!$Z:$Z,'0312 4度C'!$A:$A,"新豐4線",'0312 4度C'!$B:$B,"平均")</f>
        <v>0</v>
      </c>
    </row>
    <row r="20" spans="2:13" ht="17.25" customHeight="1">
      <c r="B20" s="101" t="s">
        <v>541</v>
      </c>
      <c r="C20" s="84" t="s">
        <v>1080</v>
      </c>
      <c r="D20" s="85">
        <f>SUMIFS('0312 4度C'!$AC:$AC,'0312 4度C'!$A:$A,"新豐6線",'0312 4度C'!$B:$B,"平均")</f>
        <v>5</v>
      </c>
      <c r="E20" s="86">
        <f>SUMIFS('0312 4度C'!$AC:$AC,'0312 4度C'!$A:$A,"新豐2線",'0312 4度C'!$B:$B,"平均")</f>
        <v>2</v>
      </c>
      <c r="F20" s="86">
        <f>SUMIFS('0312 4度C'!$AC:$AC,'0312 4度C'!$A:$A,"新豐5線",'0312 4度C'!$B:$B,"平均")</f>
        <v>4</v>
      </c>
      <c r="G20" s="86">
        <f>SUMIFS('0312 4度C'!$AC:$AC,'0312 4度C'!$A:$A,"新豐7線",'0312 4度C'!$B:$B,"平均")</f>
        <v>5</v>
      </c>
      <c r="H20" s="86">
        <f>SUMIFS('0312 4度C'!$AC:$AC,'0312 4度C'!$A:$A,"新豐3線",'0312 4度C'!$B:$B,"平均")</f>
        <v>8</v>
      </c>
      <c r="I20" s="86">
        <f>SUMIFS('0312 4度C'!$AC:$AC,'0312 4度C'!$A:$A,"新豐1線",'0312 4度C'!$B:$B,"平均")</f>
        <v>8</v>
      </c>
      <c r="J20" s="87">
        <f>SUMIFS('0312 4度C'!$AC:$AC,'0312 4度C'!$A:$A,"新豐10線",'0312 4度C'!$B:$B,"平均")</f>
        <v>4</v>
      </c>
      <c r="K20" s="88">
        <f>SUMIFS('0312 4度C'!$AC:$AC,'0312 4度C'!$A:$A,"新豐8線",'0312 4度C'!$B:$B,"平均")</f>
        <v>8</v>
      </c>
      <c r="L20" s="86">
        <f>SUMIFS('0312 4度C'!$AC:$AC,'0312 4度C'!$A:$A,"新豐9線",'0312 4度C'!$B:$B,"平均")</f>
        <v>7</v>
      </c>
      <c r="M20" s="87">
        <f>SUMIFS('0312 4度C'!$AC:$AC,'0312 4度C'!$A:$A,"新豐4線",'0312 4度C'!$B:$B,"平均")</f>
        <v>5</v>
      </c>
    </row>
    <row r="21" spans="2:13" ht="17.25" customHeight="1">
      <c r="B21" s="102"/>
      <c r="C21" s="84" t="s">
        <v>638</v>
      </c>
      <c r="D21" s="85">
        <f>SUMIFS('0312 4度C'!$AD:$AD,'0312 4度C'!$A:$A,"新豐6線",'0312 4度C'!$B:$B,"平均")</f>
        <v>0</v>
      </c>
      <c r="E21" s="86">
        <f>SUMIFS('0312 4度C'!$AD:$AD,'0312 4度C'!$A:$A,"新豐2線",'0312 4度C'!$B:$B,"平均")</f>
        <v>0</v>
      </c>
      <c r="F21" s="86">
        <f>SUMIFS('0312 4度C'!$AD:$AD,'0312 4度C'!$A:$A,"新豐5線",'0312 4度C'!$B:$B,"平均")</f>
        <v>0</v>
      </c>
      <c r="G21" s="86">
        <f>SUMIFS('0312 4度C'!$AD:$AD,'0312 4度C'!$A:$A,"新豐7線",'0312 4度C'!$B:$B,"平均")</f>
        <v>0</v>
      </c>
      <c r="H21" s="86">
        <f>SUMIFS('0312 4度C'!$AD:$AD,'0312 4度C'!$A:$A,"新豐3線",'0312 4度C'!$B:$B,"平均")</f>
        <v>0</v>
      </c>
      <c r="I21" s="86">
        <f>SUMIFS('0312 4度C'!$AD:$AD,'0312 4度C'!$A:$A,"新豐1線",'0312 4度C'!$B:$B,"平均")</f>
        <v>0</v>
      </c>
      <c r="J21" s="87">
        <f>SUMIFS('0312 4度C'!$AD:$AD,'0312 4度C'!$A:$A,"新豐10線",'0312 4度C'!$B:$B,"平均")</f>
        <v>0</v>
      </c>
      <c r="K21" s="88">
        <f>SUMIFS('0312 4度C'!$AD:$AD,'0312 4度C'!$A:$A,"新豐8線",'0312 4度C'!$B:$B,"平均")</f>
        <v>0</v>
      </c>
      <c r="L21" s="86">
        <f>SUMIFS('0312 4度C'!$AD:$AD,'0312 4度C'!$A:$A,"新豐9線",'0312 4度C'!$B:$B,"平均")</f>
        <v>0</v>
      </c>
      <c r="M21" s="87">
        <f>SUMIFS('0312 4度C'!$AD:$AD,'0312 4度C'!$A:$A,"新豐4線",'0312 4度C'!$B:$B,"平均")</f>
        <v>0</v>
      </c>
    </row>
    <row r="22" spans="2:13" ht="17.25" customHeight="1">
      <c r="B22" s="103" t="s">
        <v>1081</v>
      </c>
      <c r="C22" s="104"/>
      <c r="D22" s="89">
        <f>SUMIFS('0312 4度C'!$I:$I,'0312 4度C'!$A:$A,"新豐6線",'0312 4度C'!$B:$B,"平均")</f>
        <v>17.600000000000001</v>
      </c>
      <c r="E22" s="90">
        <f>SUMIFS('0312 4度C'!$I:$I,'0312 4度C'!$A:$A,"新豐2線",'0312 4度C'!$B:$B,"平均")</f>
        <v>18</v>
      </c>
      <c r="F22" s="90">
        <f>SUMIFS('0312 4度C'!$I:$I,'0312 4度C'!$A:$A,"新豐5線",'0312 4度C'!$B:$B,"平均")</f>
        <v>18.25</v>
      </c>
      <c r="G22" s="90">
        <f>SUMIFS('0312 4度C'!$I:$I,'0312 4度C'!$A:$A,"新豐7線",'0312 4度C'!$B:$B,"平均")</f>
        <v>14.8</v>
      </c>
      <c r="H22" s="90">
        <f>SUMIFS('0312 4度C'!$I:$I,'0312 4度C'!$A:$A,"新豐3線",'0312 4度C'!$B:$B,"平均")</f>
        <v>9.625</v>
      </c>
      <c r="I22" s="90">
        <f>SUMIFS('0312 4度C'!$I:$I,'0312 4度C'!$A:$A,"新豐1線",'0312 4度C'!$B:$B,"平均")</f>
        <v>18.875</v>
      </c>
      <c r="J22" s="91">
        <f>SUMIFS('0312 4度C'!$I:$I,'0312 4度C'!$A:$A,"新豐10線",'0312 4度C'!$B:$B,"平均")</f>
        <v>10</v>
      </c>
      <c r="K22" s="89">
        <f>SUMIFS('0312 4度C'!$I:$I,'0312 4度C'!$A:$A,"新豐8線",'0312 4度C'!$B:$B,"平均")</f>
        <v>17.625</v>
      </c>
      <c r="L22" s="90">
        <f>SUMIFS('0312 4度C'!$I:$I,'0312 4度C'!$A:$A,"新豐9線",'0312 4度C'!$B:$B,"平均")</f>
        <v>17.285714285714285</v>
      </c>
      <c r="M22" s="91">
        <f>SUMIFS('0312 4度C'!$I:$I,'0312 4度C'!$A:$A,"新豐4線",'0312 4度C'!$B:$B,"平均")</f>
        <v>16</v>
      </c>
    </row>
    <row r="23" spans="2:13" ht="17.25" customHeight="1">
      <c r="B23" s="103" t="s">
        <v>1082</v>
      </c>
      <c r="C23" s="104"/>
      <c r="D23" s="92" t="s">
        <v>185</v>
      </c>
      <c r="E23" s="93" t="s">
        <v>186</v>
      </c>
      <c r="F23" s="93" t="s">
        <v>1083</v>
      </c>
      <c r="G23" s="93" t="s">
        <v>1084</v>
      </c>
      <c r="H23" s="93" t="s">
        <v>188</v>
      </c>
      <c r="I23" s="93" t="s">
        <v>185</v>
      </c>
      <c r="J23" s="94" t="s">
        <v>188</v>
      </c>
      <c r="K23" s="92" t="s">
        <v>1085</v>
      </c>
      <c r="L23" s="93" t="s">
        <v>236</v>
      </c>
      <c r="M23" s="94" t="s">
        <v>1086</v>
      </c>
    </row>
    <row r="24" spans="2:13" ht="17.25" customHeight="1">
      <c r="B24" s="103" t="s">
        <v>643</v>
      </c>
      <c r="C24" s="104"/>
      <c r="D24" s="92"/>
      <c r="E24" s="93"/>
      <c r="F24" s="93" t="s">
        <v>191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1087</v>
      </c>
      <c r="C25" s="106"/>
      <c r="D25" s="95"/>
      <c r="E25" s="96" t="s">
        <v>548</v>
      </c>
      <c r="F25" s="99" t="s">
        <v>241</v>
      </c>
      <c r="G25" s="100"/>
      <c r="H25" s="96" t="s">
        <v>195</v>
      </c>
      <c r="I25" s="96" t="s">
        <v>1088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工作表13">
    <pageSetUpPr fitToPage="1"/>
  </sheetPr>
  <dimension ref="A1:AG71"/>
  <sheetViews>
    <sheetView topLeftCell="M1" zoomScale="80" zoomScaleNormal="80" workbookViewId="0">
      <pane ySplit="4" topLeftCell="A44" activePane="bottomLeft" state="frozen"/>
      <selection activeCell="B29" sqref="B29"/>
      <selection pane="bottomLeft" activeCell="B29" sqref="B2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1089</v>
      </c>
      <c r="B1" s="1"/>
      <c r="C1" s="2" t="s">
        <v>1090</v>
      </c>
      <c r="D1" s="3">
        <f>SUM(F5:F70)</f>
        <v>144511</v>
      </c>
      <c r="E1" s="4" t="s">
        <v>1091</v>
      </c>
      <c r="F1" s="1">
        <f>SUM(G5:G70)</f>
        <v>4709506.2699999986</v>
      </c>
      <c r="G1" s="1" t="s">
        <v>1092</v>
      </c>
      <c r="H1" s="5">
        <v>158.06071428571428</v>
      </c>
      <c r="I1" s="212" t="s">
        <v>1093</v>
      </c>
      <c r="J1" s="212"/>
      <c r="K1" s="212"/>
      <c r="L1" s="212" t="s">
        <v>1094</v>
      </c>
      <c r="M1" s="212"/>
      <c r="N1" s="212"/>
      <c r="O1" s="212" t="s">
        <v>1095</v>
      </c>
      <c r="P1" s="212"/>
      <c r="Q1" s="212"/>
      <c r="R1" s="212"/>
      <c r="S1" s="212" t="s">
        <v>7</v>
      </c>
      <c r="T1" s="212"/>
      <c r="U1" s="212"/>
      <c r="V1" s="212"/>
      <c r="W1" s="212"/>
      <c r="X1" s="212"/>
      <c r="Y1" s="6" t="s">
        <v>1096</v>
      </c>
      <c r="Z1" s="7" t="s">
        <v>9</v>
      </c>
      <c r="AA1" s="213" t="s">
        <v>1097</v>
      </c>
      <c r="AB1" s="213"/>
      <c r="AC1" s="42" t="s">
        <v>1096</v>
      </c>
      <c r="AD1" s="7" t="s">
        <v>1098</v>
      </c>
      <c r="AE1" s="212" t="s">
        <v>1099</v>
      </c>
      <c r="AF1" s="214"/>
      <c r="AG1" s="214"/>
    </row>
    <row r="2" spans="1:33" ht="26.25" customHeight="1">
      <c r="A2" s="33">
        <v>46093</v>
      </c>
      <c r="B2" s="34" t="s">
        <v>564</v>
      </c>
      <c r="C2" s="2" t="s">
        <v>1072</v>
      </c>
      <c r="D2" s="9">
        <f>AVERAGE(N10,N13,N50,N59,N18,N64,N24,N33,N41,N70)</f>
        <v>143.91040172413688</v>
      </c>
      <c r="E2" s="10" t="s">
        <v>14</v>
      </c>
      <c r="F2" s="11">
        <f>F1/D1</f>
        <v>32.589258049560229</v>
      </c>
      <c r="G2" s="1" t="s">
        <v>1100</v>
      </c>
      <c r="H2" s="12">
        <v>7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SUM(Y10+Y13+Y18+Y24+Y33+Y41+Y50+Y59+Y64+Y70)</f>
        <v>0</v>
      </c>
      <c r="Z2" s="13">
        <f>SUM(Z10+Z13+Z18+Z24+Z33+Z41+Z50+Z59+Z64+Z70)</f>
        <v>0</v>
      </c>
      <c r="AA2" s="213"/>
      <c r="AB2" s="213"/>
      <c r="AC2" s="13">
        <v>56</v>
      </c>
      <c r="AD2" s="13">
        <f>SUM(AD10+AD13+AD18+AD24+AD33+AD41+AD50+AD59+AD64+AD70)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17</v>
      </c>
      <c r="C3" s="162" t="s">
        <v>1101</v>
      </c>
      <c r="D3" s="162"/>
      <c r="E3" s="210" t="s">
        <v>19</v>
      </c>
      <c r="F3" s="162" t="s">
        <v>1102</v>
      </c>
      <c r="G3" s="210" t="s">
        <v>1103</v>
      </c>
      <c r="H3" s="204" t="s">
        <v>1104</v>
      </c>
      <c r="I3" s="202" t="s">
        <v>1105</v>
      </c>
      <c r="J3" s="199" t="s">
        <v>1106</v>
      </c>
      <c r="K3" s="209" t="s">
        <v>1072</v>
      </c>
      <c r="L3" s="202" t="s">
        <v>1107</v>
      </c>
      <c r="M3" s="199" t="s">
        <v>1106</v>
      </c>
      <c r="N3" s="209" t="s">
        <v>1072</v>
      </c>
      <c r="O3" s="202" t="s">
        <v>1107</v>
      </c>
      <c r="P3" s="209" t="s">
        <v>13</v>
      </c>
      <c r="Q3" s="200" t="s">
        <v>1108</v>
      </c>
      <c r="R3" s="178" t="s">
        <v>1109</v>
      </c>
      <c r="S3" s="162" t="s">
        <v>27</v>
      </c>
      <c r="T3" s="162"/>
      <c r="U3" s="204" t="s">
        <v>28</v>
      </c>
      <c r="V3" s="204" t="s">
        <v>1110</v>
      </c>
      <c r="W3" s="162" t="s">
        <v>1111</v>
      </c>
      <c r="X3" s="162"/>
      <c r="Y3" s="205" t="s">
        <v>582</v>
      </c>
      <c r="Z3" s="166"/>
      <c r="AA3" s="206" t="s">
        <v>1112</v>
      </c>
      <c r="AB3" s="207"/>
      <c r="AC3" s="205" t="s">
        <v>1113</v>
      </c>
      <c r="AD3" s="166"/>
      <c r="AE3" s="199" t="s">
        <v>1106</v>
      </c>
      <c r="AF3" s="200" t="s">
        <v>1108</v>
      </c>
      <c r="AG3" s="178" t="s">
        <v>1109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1114</v>
      </c>
      <c r="X4" s="4" t="s">
        <v>1115</v>
      </c>
      <c r="Y4" s="14" t="s">
        <v>1116</v>
      </c>
      <c r="Z4" s="14" t="s">
        <v>180</v>
      </c>
      <c r="AA4" s="208"/>
      <c r="AB4" s="207"/>
      <c r="AC4" s="14" t="s">
        <v>1117</v>
      </c>
      <c r="AD4" s="14" t="s">
        <v>1118</v>
      </c>
      <c r="AE4" s="199"/>
      <c r="AF4" s="200"/>
      <c r="AG4" s="178"/>
    </row>
    <row r="5" spans="1:33">
      <c r="A5" s="201" t="s">
        <v>1119</v>
      </c>
      <c r="B5" s="35" t="s">
        <v>78</v>
      </c>
      <c r="C5" s="203" t="s">
        <v>79</v>
      </c>
      <c r="D5" s="203"/>
      <c r="E5" s="35">
        <v>50.67</v>
      </c>
      <c r="F5" s="4">
        <v>1209</v>
      </c>
      <c r="G5" s="4">
        <f t="shared" ref="G5:G9" si="0">E5*F5</f>
        <v>61260.03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1908.9473684210514</v>
      </c>
      <c r="N5" s="16">
        <f t="shared" ref="N5:N68" si="3">M5/L5</f>
        <v>112.29102167182656</v>
      </c>
      <c r="O5" s="18">
        <f t="shared" ref="O5:O68" si="4">L5-I5</f>
        <v>0</v>
      </c>
      <c r="P5" s="19">
        <f t="shared" ref="P5:P68" si="5">N5-K5</f>
        <v>-5.35603715170285</v>
      </c>
      <c r="Q5" s="20">
        <f t="shared" ref="Q5:Q68" si="6">N5/K5</f>
        <v>0.95447368421052581</v>
      </c>
      <c r="R5" s="170">
        <f>Q10</f>
        <v>0.9486769778569053</v>
      </c>
      <c r="S5" s="27">
        <v>0.70833333333333337</v>
      </c>
      <c r="T5" s="27">
        <v>0.73472222222222228</v>
      </c>
      <c r="U5" s="4"/>
      <c r="V5" s="21">
        <f t="shared" ref="V5:V9" si="7">(T5-S5)*24*60</f>
        <v>38.000000000000028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58" si="8">M5-J5</f>
        <v>-91.052631578948649</v>
      </c>
      <c r="AF5" s="20">
        <f t="shared" ref="AF5:AF68" si="9">M5/J5</f>
        <v>0.9544736842105257</v>
      </c>
      <c r="AG5" s="170">
        <f>AF10</f>
        <v>0.9486769778569053</v>
      </c>
    </row>
    <row r="6" spans="1:33">
      <c r="A6" s="202" t="s">
        <v>1119</v>
      </c>
      <c r="B6" s="35" t="s">
        <v>78</v>
      </c>
      <c r="C6" s="203" t="s">
        <v>80</v>
      </c>
      <c r="D6" s="203"/>
      <c r="E6" s="35">
        <v>54.09</v>
      </c>
      <c r="F6" s="4">
        <v>981</v>
      </c>
      <c r="G6" s="4">
        <f t="shared" si="0"/>
        <v>53062.29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1961.9999999999964</v>
      </c>
      <c r="N6" s="16">
        <f t="shared" si="3"/>
        <v>103.26315789473665</v>
      </c>
      <c r="O6" s="18">
        <f t="shared" si="4"/>
        <v>0</v>
      </c>
      <c r="P6" s="19">
        <f t="shared" si="5"/>
        <v>-2.0000000000001847</v>
      </c>
      <c r="Q6" s="20">
        <f t="shared" si="6"/>
        <v>0.98099999999999821</v>
      </c>
      <c r="R6" s="170"/>
      <c r="S6" s="27">
        <v>0.74027777777777781</v>
      </c>
      <c r="T6" s="27">
        <v>0.76111111111111118</v>
      </c>
      <c r="U6" s="4">
        <f t="shared" ref="U6:U9" si="10">IF(S6=TIME(17,0,0),"",(S6-T5)*24*60)</f>
        <v>7.9999999999999716</v>
      </c>
      <c r="V6" s="21">
        <f t="shared" si="7"/>
        <v>30.000000000000053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-38.000000000003638</v>
      </c>
      <c r="AF6" s="20">
        <f t="shared" si="9"/>
        <v>0.98099999999999821</v>
      </c>
      <c r="AG6" s="170"/>
    </row>
    <row r="7" spans="1:33">
      <c r="A7" s="202" t="s">
        <v>45</v>
      </c>
      <c r="B7" s="35" t="s">
        <v>78</v>
      </c>
      <c r="C7" s="197" t="s">
        <v>81</v>
      </c>
      <c r="D7" s="198"/>
      <c r="E7" s="35">
        <v>50.29</v>
      </c>
      <c r="F7" s="4">
        <v>338</v>
      </c>
      <c r="G7" s="4">
        <f t="shared" si="0"/>
        <v>16998.02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1843.6363636363701</v>
      </c>
      <c r="N7" s="16">
        <f t="shared" si="3"/>
        <v>115.22727272727313</v>
      </c>
      <c r="O7" s="18">
        <f t="shared" si="4"/>
        <v>0</v>
      </c>
      <c r="P7" s="19">
        <f t="shared" si="5"/>
        <v>-9.7727272727268684</v>
      </c>
      <c r="Q7" s="20">
        <f t="shared" si="6"/>
        <v>0.92181818181818509</v>
      </c>
      <c r="R7" s="170"/>
      <c r="S7" s="27">
        <v>0.76527777777777783</v>
      </c>
      <c r="T7" s="27">
        <v>0.7729166666666667</v>
      </c>
      <c r="U7" s="4">
        <f t="shared" si="10"/>
        <v>5.9999999999999787</v>
      </c>
      <c r="V7" s="21">
        <f t="shared" si="7"/>
        <v>10.999999999999961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-156.36363636362989</v>
      </c>
      <c r="AF7" s="20">
        <f t="shared" si="9"/>
        <v>0.92181818181818509</v>
      </c>
      <c r="AG7" s="170"/>
    </row>
    <row r="8" spans="1:33">
      <c r="A8" s="202" t="s">
        <v>1119</v>
      </c>
      <c r="B8" s="35" t="s">
        <v>78</v>
      </c>
      <c r="C8" s="197" t="s">
        <v>82</v>
      </c>
      <c r="D8" s="198"/>
      <c r="E8" s="35">
        <v>50.67</v>
      </c>
      <c r="F8" s="4">
        <v>308</v>
      </c>
      <c r="G8" s="4">
        <f t="shared" si="0"/>
        <v>15606.36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1848.0000000000066</v>
      </c>
      <c r="N8" s="16">
        <f t="shared" si="3"/>
        <v>88.000000000000313</v>
      </c>
      <c r="O8" s="18">
        <f t="shared" si="4"/>
        <v>0</v>
      </c>
      <c r="P8" s="19">
        <f t="shared" si="5"/>
        <v>-7.2380952380949282</v>
      </c>
      <c r="Q8" s="20">
        <f t="shared" si="6"/>
        <v>0.92400000000000326</v>
      </c>
      <c r="R8" s="170"/>
      <c r="S8" s="27">
        <v>0.77708333333333335</v>
      </c>
      <c r="T8" s="27">
        <v>0.78402777777777777</v>
      </c>
      <c r="U8" s="4">
        <f t="shared" si="10"/>
        <v>5.9999999999999787</v>
      </c>
      <c r="V8" s="21">
        <f t="shared" si="7"/>
        <v>9.9999999999999645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-151.99999999999341</v>
      </c>
      <c r="AF8" s="20">
        <f t="shared" si="9"/>
        <v>0.92400000000000326</v>
      </c>
      <c r="AG8" s="170"/>
    </row>
    <row r="9" spans="1:33">
      <c r="A9" s="202" t="s">
        <v>45</v>
      </c>
      <c r="B9" s="35" t="s">
        <v>78</v>
      </c>
      <c r="C9" s="197" t="s">
        <v>91</v>
      </c>
      <c r="D9" s="198"/>
      <c r="E9" s="35">
        <v>50.67</v>
      </c>
      <c r="F9" s="4">
        <v>1379</v>
      </c>
      <c r="G9" s="4">
        <f t="shared" si="0"/>
        <v>69873.930000000008</v>
      </c>
      <c r="H9" s="21" t="s">
        <v>133</v>
      </c>
      <c r="I9" s="15">
        <v>15</v>
      </c>
      <c r="J9" s="17">
        <v>2000</v>
      </c>
      <c r="K9" s="16">
        <f t="shared" si="1"/>
        <v>133.33333333333334</v>
      </c>
      <c r="L9" s="15">
        <v>15</v>
      </c>
      <c r="M9" s="17">
        <f t="shared" si="2"/>
        <v>1924.1860465116274</v>
      </c>
      <c r="N9" s="16">
        <f t="shared" si="3"/>
        <v>128.27906976744183</v>
      </c>
      <c r="O9" s="18">
        <f t="shared" si="4"/>
        <v>0</v>
      </c>
      <c r="P9" s="19">
        <f t="shared" si="5"/>
        <v>-5.0542635658915174</v>
      </c>
      <c r="Q9" s="20">
        <f t="shared" si="6"/>
        <v>0.96209302325581358</v>
      </c>
      <c r="R9" s="170"/>
      <c r="S9" s="27">
        <v>0.78819444444444442</v>
      </c>
      <c r="T9" s="27">
        <v>0.81805555555555554</v>
      </c>
      <c r="U9" s="4">
        <f t="shared" si="10"/>
        <v>5.9999999999999787</v>
      </c>
      <c r="V9" s="21">
        <f t="shared" si="7"/>
        <v>43.000000000000007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-75.81395348837259</v>
      </c>
      <c r="AF9" s="20">
        <f t="shared" si="9"/>
        <v>0.9620930232558137</v>
      </c>
      <c r="AG9" s="170"/>
    </row>
    <row r="10" spans="1:33">
      <c r="A10" s="202" t="s">
        <v>1120</v>
      </c>
      <c r="B10" s="35" t="s">
        <v>1121</v>
      </c>
      <c r="C10" s="171"/>
      <c r="D10" s="171"/>
      <c r="E10" s="36"/>
      <c r="F10" s="16"/>
      <c r="G10" s="16"/>
      <c r="H10" s="4"/>
      <c r="I10" s="29">
        <v>17.600000000000001</v>
      </c>
      <c r="J10" s="17">
        <v>2000</v>
      </c>
      <c r="K10" s="16">
        <f t="shared" si="1"/>
        <v>113.63636363636363</v>
      </c>
      <c r="L10" s="29">
        <v>17.600000000000001</v>
      </c>
      <c r="M10" s="17">
        <f>AVERAGE(M5:M9)</f>
        <v>1897.3539557138106</v>
      </c>
      <c r="N10" s="16">
        <f t="shared" si="3"/>
        <v>107.80420202919377</v>
      </c>
      <c r="O10" s="18">
        <f t="shared" si="4"/>
        <v>0</v>
      </c>
      <c r="P10" s="19">
        <f t="shared" si="5"/>
        <v>-5.8321616071698514</v>
      </c>
      <c r="Q10" s="20">
        <f t="shared" si="6"/>
        <v>0.9486769778569053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-102.64604428618941</v>
      </c>
      <c r="AF10" s="20">
        <f t="shared" si="9"/>
        <v>0.9486769778569053</v>
      </c>
      <c r="AG10" s="170"/>
    </row>
    <row r="11" spans="1:33" ht="15.75" customHeight="1">
      <c r="A11" s="196" t="s">
        <v>1122</v>
      </c>
      <c r="B11" s="35" t="s">
        <v>84</v>
      </c>
      <c r="C11" s="197" t="s">
        <v>85</v>
      </c>
      <c r="D11" s="198"/>
      <c r="E11" s="35">
        <v>39.619999999999997</v>
      </c>
      <c r="F11" s="4">
        <v>3112</v>
      </c>
      <c r="G11" s="4">
        <f t="shared" ref="G11:G12" si="11">E11*F11</f>
        <v>123297.43999999999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1436.3076923076926</v>
      </c>
      <c r="N11" s="16">
        <f t="shared" si="3"/>
        <v>75.595141700404881</v>
      </c>
      <c r="O11" s="18">
        <f t="shared" si="4"/>
        <v>0</v>
      </c>
      <c r="P11" s="19">
        <f t="shared" si="5"/>
        <v>-3.3522267206477494</v>
      </c>
      <c r="Q11" s="20">
        <f t="shared" si="6"/>
        <v>0.95753846153846189</v>
      </c>
      <c r="R11" s="170">
        <f>Q13</f>
        <v>0.95697550879613669</v>
      </c>
      <c r="S11" s="27">
        <v>0.20833333333333334</v>
      </c>
      <c r="T11" s="27">
        <v>0.2986111111111111</v>
      </c>
      <c r="U11" s="4"/>
      <c r="V11" s="21">
        <f t="shared" ref="V11:V12" si="13">(T11-S11)*24*60</f>
        <v>129.99999999999997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-63.692307692307395</v>
      </c>
      <c r="AF11" s="20">
        <f t="shared" si="9"/>
        <v>0.95753846153846178</v>
      </c>
      <c r="AG11" s="170">
        <f>AF13</f>
        <v>0.95697550879613669</v>
      </c>
    </row>
    <row r="12" spans="1:33" ht="15.75" customHeight="1">
      <c r="A12" s="196" t="s">
        <v>1123</v>
      </c>
      <c r="B12" s="35" t="s">
        <v>84</v>
      </c>
      <c r="C12" s="197" t="s">
        <v>86</v>
      </c>
      <c r="D12" s="198"/>
      <c r="E12" s="35">
        <v>39.799999999999997</v>
      </c>
      <c r="F12" s="4">
        <v>5332</v>
      </c>
      <c r="G12" s="4">
        <f t="shared" si="11"/>
        <v>212213.59999999998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1434.6188340807175</v>
      </c>
      <c r="N12" s="16">
        <f t="shared" si="3"/>
        <v>84.389343181218678</v>
      </c>
      <c r="O12" s="18">
        <f t="shared" si="4"/>
        <v>0</v>
      </c>
      <c r="P12" s="19">
        <f t="shared" si="5"/>
        <v>-3.8459509364283804</v>
      </c>
      <c r="Q12" s="20">
        <f t="shared" si="6"/>
        <v>0.9564125560538117</v>
      </c>
      <c r="R12" s="170"/>
      <c r="S12" s="27">
        <v>0.30277777777777776</v>
      </c>
      <c r="T12" s="27">
        <v>0.45763888888888887</v>
      </c>
      <c r="U12" s="4">
        <f t="shared" ref="U12" si="14">IF(S12=TIME(17,0,0),"",(S12-T11)*24*60)</f>
        <v>5.9999999999999787</v>
      </c>
      <c r="V12" s="21">
        <f t="shared" si="13"/>
        <v>223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-65.381165919282466</v>
      </c>
      <c r="AF12" s="20">
        <f t="shared" si="9"/>
        <v>0.9564125560538117</v>
      </c>
      <c r="AG12" s="170"/>
    </row>
    <row r="13" spans="1:33" ht="16.5" customHeight="1">
      <c r="A13" s="196" t="s">
        <v>1123</v>
      </c>
      <c r="B13" s="35" t="s">
        <v>1121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1435.463263194205</v>
      </c>
      <c r="N13" s="16">
        <f t="shared" si="3"/>
        <v>79.74795906634472</v>
      </c>
      <c r="O13" s="18">
        <f t="shared" si="4"/>
        <v>0</v>
      </c>
      <c r="P13" s="19">
        <f t="shared" si="5"/>
        <v>-3.5853742669886088</v>
      </c>
      <c r="Q13" s="20">
        <f t="shared" si="6"/>
        <v>0.95697550879613669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v>2</v>
      </c>
      <c r="AD13" s="30">
        <f>SUM(AD11:AD12)</f>
        <v>0</v>
      </c>
      <c r="AE13" s="18">
        <f t="shared" si="8"/>
        <v>-64.536736805795044</v>
      </c>
      <c r="AF13" s="20">
        <f t="shared" si="9"/>
        <v>0.95697550879613669</v>
      </c>
      <c r="AG13" s="170"/>
    </row>
    <row r="14" spans="1:33" ht="16.5" customHeight="1">
      <c r="A14" s="194" t="s">
        <v>1124</v>
      </c>
      <c r="B14" s="4" t="s">
        <v>87</v>
      </c>
      <c r="C14" s="190" t="s">
        <v>88</v>
      </c>
      <c r="D14" s="190"/>
      <c r="E14" s="35">
        <v>41</v>
      </c>
      <c r="F14" s="4">
        <v>3346</v>
      </c>
      <c r="G14" s="4">
        <f t="shared" ref="G14:G17" si="15">E14*F14</f>
        <v>137186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1433.9999999999998</v>
      </c>
      <c r="N14" s="16">
        <f t="shared" si="3"/>
        <v>55.153846153846146</v>
      </c>
      <c r="O14" s="18">
        <f t="shared" si="4"/>
        <v>0</v>
      </c>
      <c r="P14" s="19">
        <f t="shared" si="5"/>
        <v>-2.5384615384615472</v>
      </c>
      <c r="Q14" s="20">
        <f t="shared" si="6"/>
        <v>0.95599999999999985</v>
      </c>
      <c r="R14" s="170">
        <f>Q18</f>
        <v>0.96326383507203339</v>
      </c>
      <c r="S14" s="27">
        <v>0.20833333333333334</v>
      </c>
      <c r="T14" s="27">
        <v>0.30555555555555558</v>
      </c>
      <c r="U14" s="4"/>
      <c r="V14" s="21">
        <f t="shared" ref="V14:V17" si="17">(T14-S14)*24*60</f>
        <v>140.00000000000003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-66.000000000000227</v>
      </c>
      <c r="AF14" s="20">
        <f t="shared" si="9"/>
        <v>0.95599999999999985</v>
      </c>
      <c r="AG14" s="170">
        <f>AF18</f>
        <v>0.96326383507203328</v>
      </c>
    </row>
    <row r="15" spans="1:33" ht="16.5" customHeight="1">
      <c r="A15" s="195" t="s">
        <v>1125</v>
      </c>
      <c r="B15" s="4" t="s">
        <v>78</v>
      </c>
      <c r="C15" s="190" t="s">
        <v>89</v>
      </c>
      <c r="D15" s="190"/>
      <c r="E15" s="35">
        <v>50.98</v>
      </c>
      <c r="F15" s="4">
        <v>2113</v>
      </c>
      <c r="G15" s="4">
        <f t="shared" si="15"/>
        <v>107720.73999999999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1920.909090909093</v>
      </c>
      <c r="N15" s="16">
        <f t="shared" si="3"/>
        <v>120.05681818181831</v>
      </c>
      <c r="O15" s="18">
        <f t="shared" si="4"/>
        <v>0</v>
      </c>
      <c r="P15" s="19">
        <f t="shared" si="5"/>
        <v>-4.9431818181816851</v>
      </c>
      <c r="Q15" s="20">
        <f t="shared" si="6"/>
        <v>0.96045454545454656</v>
      </c>
      <c r="R15" s="170"/>
      <c r="S15" s="27">
        <v>0.70833333333333337</v>
      </c>
      <c r="T15" s="27">
        <v>0.75416666666666665</v>
      </c>
      <c r="U15" s="4" t="str">
        <f t="shared" ref="U15:U17" si="18">IF(S15=TIME(17,0,0),"",(S15-T14)*24*60)</f>
        <v/>
      </c>
      <c r="V15" s="21">
        <f t="shared" si="17"/>
        <v>65.999999999999929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-79.090909090906962</v>
      </c>
      <c r="AF15" s="20">
        <f t="shared" si="9"/>
        <v>0.96045454545454656</v>
      </c>
      <c r="AG15" s="170"/>
    </row>
    <row r="16" spans="1:33" ht="16.5" customHeight="1">
      <c r="A16" s="195" t="s">
        <v>1125</v>
      </c>
      <c r="B16" s="4" t="s">
        <v>78</v>
      </c>
      <c r="C16" s="190" t="s">
        <v>90</v>
      </c>
      <c r="D16" s="190"/>
      <c r="E16" s="35">
        <v>50.92</v>
      </c>
      <c r="F16" s="4">
        <v>1963</v>
      </c>
      <c r="G16" s="4">
        <f t="shared" si="15"/>
        <v>99955.96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1930.8196721311492</v>
      </c>
      <c r="N16" s="16">
        <f t="shared" si="3"/>
        <v>128.72131147540995</v>
      </c>
      <c r="O16" s="18">
        <f t="shared" si="4"/>
        <v>0</v>
      </c>
      <c r="P16" s="19">
        <f t="shared" si="5"/>
        <v>-4.6120218579233949</v>
      </c>
      <c r="Q16" s="20">
        <f t="shared" si="6"/>
        <v>0.96540983606557451</v>
      </c>
      <c r="R16" s="170"/>
      <c r="S16" s="27">
        <v>0.75763888888888886</v>
      </c>
      <c r="T16" s="27">
        <v>0.79999999999999993</v>
      </c>
      <c r="U16" s="4">
        <f t="shared" si="18"/>
        <v>4.9999999999999822</v>
      </c>
      <c r="V16" s="21">
        <f t="shared" si="17"/>
        <v>60.999999999999943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-69.180327868850782</v>
      </c>
      <c r="AF16" s="20">
        <f t="shared" si="9"/>
        <v>0.96540983606557462</v>
      </c>
      <c r="AG16" s="170"/>
    </row>
    <row r="17" spans="1:33" ht="16.5" customHeight="1">
      <c r="A17" s="195" t="s">
        <v>1126</v>
      </c>
      <c r="B17" s="4" t="s">
        <v>78</v>
      </c>
      <c r="C17" s="190" t="s">
        <v>83</v>
      </c>
      <c r="D17" s="190"/>
      <c r="E17" s="35">
        <v>50.67</v>
      </c>
      <c r="F17" s="4">
        <v>517</v>
      </c>
      <c r="G17" s="4">
        <f t="shared" si="15"/>
        <v>26196.39</v>
      </c>
      <c r="H17" s="21" t="s">
        <v>133</v>
      </c>
      <c r="I17" s="15">
        <v>16</v>
      </c>
      <c r="J17" s="17">
        <v>2000</v>
      </c>
      <c r="K17" s="16">
        <f t="shared" si="1"/>
        <v>125</v>
      </c>
      <c r="L17" s="15">
        <v>16</v>
      </c>
      <c r="M17" s="17">
        <f t="shared" si="16"/>
        <v>1938.7500000000068</v>
      </c>
      <c r="N17" s="16">
        <f t="shared" si="3"/>
        <v>121.17187500000043</v>
      </c>
      <c r="O17" s="18">
        <f t="shared" si="4"/>
        <v>0</v>
      </c>
      <c r="P17" s="19">
        <f t="shared" si="5"/>
        <v>-3.8281249999995737</v>
      </c>
      <c r="Q17" s="20">
        <f t="shared" si="6"/>
        <v>0.96937500000000343</v>
      </c>
      <c r="R17" s="170"/>
      <c r="S17" s="27">
        <v>0.80347222222222214</v>
      </c>
      <c r="T17" s="27">
        <v>0.81458333333333321</v>
      </c>
      <c r="U17" s="4">
        <f t="shared" si="18"/>
        <v>4.9999999999999822</v>
      </c>
      <c r="V17" s="21">
        <f t="shared" si="17"/>
        <v>15.999999999999943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-61.249999999993179</v>
      </c>
      <c r="AF17" s="20">
        <f t="shared" si="9"/>
        <v>0.96937500000000343</v>
      </c>
      <c r="AG17" s="170"/>
    </row>
    <row r="18" spans="1:33" ht="16.5" customHeight="1">
      <c r="A18" s="195" t="s">
        <v>1125</v>
      </c>
      <c r="B18" s="35" t="s">
        <v>1121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1806.1196907600624</v>
      </c>
      <c r="N18" s="16">
        <f t="shared" si="3"/>
        <v>98.965462507400687</v>
      </c>
      <c r="O18" s="18">
        <f t="shared" si="4"/>
        <v>0</v>
      </c>
      <c r="P18" s="19">
        <f t="shared" si="5"/>
        <v>-3.7742635199965662</v>
      </c>
      <c r="Q18" s="20">
        <f t="shared" si="6"/>
        <v>0.96326383507203339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-68.88030923993756</v>
      </c>
      <c r="AF18" s="20">
        <f t="shared" si="9"/>
        <v>0.96326383507203328</v>
      </c>
      <c r="AG18" s="170"/>
    </row>
    <row r="19" spans="1:33" ht="15.75" customHeight="1">
      <c r="A19" s="192" t="s">
        <v>393</v>
      </c>
      <c r="B19" s="35" t="s">
        <v>78</v>
      </c>
      <c r="C19" s="190" t="s">
        <v>92</v>
      </c>
      <c r="D19" s="190"/>
      <c r="E19" s="35">
        <v>57.73</v>
      </c>
      <c r="F19" s="4">
        <v>2303</v>
      </c>
      <c r="G19" s="4">
        <f t="shared" ref="G19:G23" si="19">E19*F19</f>
        <v>132952.19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3" si="20">F19/V19*60</f>
        <v>1919.1666666666661</v>
      </c>
      <c r="N19" s="16">
        <f t="shared" si="3"/>
        <v>137.08333333333329</v>
      </c>
      <c r="O19" s="18">
        <f t="shared" si="4"/>
        <v>0</v>
      </c>
      <c r="P19" s="19">
        <f t="shared" si="5"/>
        <v>-5.7738095238095752</v>
      </c>
      <c r="Q19" s="20">
        <f t="shared" si="6"/>
        <v>0.95958333333333301</v>
      </c>
      <c r="R19" s="170">
        <f>Q24</f>
        <v>0.95834384834266118</v>
      </c>
      <c r="S19" s="27">
        <v>0.20833333333333334</v>
      </c>
      <c r="T19" s="27">
        <v>0.25833333333333336</v>
      </c>
      <c r="U19" s="4"/>
      <c r="V19" s="21">
        <f t="shared" ref="V19:V23" si="21">(T19-S19)*24*60</f>
        <v>72.000000000000028</v>
      </c>
      <c r="W19" s="27"/>
      <c r="X19" s="27"/>
      <c r="Y19" s="27"/>
      <c r="Z19" s="27"/>
      <c r="AA19" s="162"/>
      <c r="AB19" s="162"/>
      <c r="AC19" s="24">
        <v>5</v>
      </c>
      <c r="AD19" s="24"/>
      <c r="AE19" s="18">
        <f t="shared" si="8"/>
        <v>-80.83333333333394</v>
      </c>
      <c r="AF19" s="20">
        <f t="shared" si="9"/>
        <v>0.95958333333333301</v>
      </c>
      <c r="AG19" s="170">
        <f>AF24</f>
        <v>0.95834384834266118</v>
      </c>
    </row>
    <row r="20" spans="1:33" ht="15.75" customHeight="1">
      <c r="A20" s="193" t="s">
        <v>1127</v>
      </c>
      <c r="B20" s="35" t="s">
        <v>78</v>
      </c>
      <c r="C20" s="190" t="s">
        <v>93</v>
      </c>
      <c r="D20" s="190"/>
      <c r="E20" s="35">
        <v>53.68</v>
      </c>
      <c r="F20" s="4">
        <v>1334</v>
      </c>
      <c r="G20" s="4">
        <f t="shared" si="19"/>
        <v>71609.119999999995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1905.7142857142851</v>
      </c>
      <c r="N20" s="16">
        <f t="shared" si="3"/>
        <v>119.10714285714282</v>
      </c>
      <c r="O20" s="18">
        <f t="shared" si="4"/>
        <v>0</v>
      </c>
      <c r="P20" s="19">
        <f t="shared" si="5"/>
        <v>-5.8928571428571814</v>
      </c>
      <c r="Q20" s="20">
        <f t="shared" si="6"/>
        <v>0.95285714285714251</v>
      </c>
      <c r="R20" s="170"/>
      <c r="S20" s="27">
        <v>0.26180555555555557</v>
      </c>
      <c r="T20" s="27">
        <v>0.29097222222222224</v>
      </c>
      <c r="U20" s="4">
        <f t="shared" ref="U20:U23" si="22">IF(S20=TIME(17,0,0),"",(S20-T19)*24*60)</f>
        <v>4.9999999999999822</v>
      </c>
      <c r="V20" s="21">
        <f t="shared" si="21"/>
        <v>42.000000000000014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-94.285714285714903</v>
      </c>
      <c r="AF20" s="20">
        <f t="shared" si="9"/>
        <v>0.95285714285714251</v>
      </c>
      <c r="AG20" s="170"/>
    </row>
    <row r="21" spans="1:33" ht="15.75" customHeight="1">
      <c r="A21" s="193" t="s">
        <v>1127</v>
      </c>
      <c r="B21" s="35" t="s">
        <v>78</v>
      </c>
      <c r="C21" s="190" t="s">
        <v>94</v>
      </c>
      <c r="D21" s="190"/>
      <c r="E21" s="35">
        <v>50.49</v>
      </c>
      <c r="F21" s="4">
        <v>1749</v>
      </c>
      <c r="G21" s="4">
        <f t="shared" si="19"/>
        <v>88307.010000000009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1908.0000000000014</v>
      </c>
      <c r="N21" s="16">
        <f t="shared" si="3"/>
        <v>127.20000000000009</v>
      </c>
      <c r="O21" s="18">
        <f t="shared" si="4"/>
        <v>0</v>
      </c>
      <c r="P21" s="19">
        <f t="shared" si="5"/>
        <v>-6.1333333333332547</v>
      </c>
      <c r="Q21" s="20">
        <f t="shared" si="6"/>
        <v>0.95400000000000063</v>
      </c>
      <c r="R21" s="170"/>
      <c r="S21" s="27">
        <v>0.70833333333333337</v>
      </c>
      <c r="T21" s="27">
        <v>0.74652777777777779</v>
      </c>
      <c r="U21" s="4" t="str">
        <f t="shared" si="22"/>
        <v/>
      </c>
      <c r="V21" s="21">
        <f t="shared" si="21"/>
        <v>54.999999999999964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-91.999999999998636</v>
      </c>
      <c r="AF21" s="20">
        <f t="shared" si="9"/>
        <v>0.95400000000000074</v>
      </c>
      <c r="AG21" s="170"/>
    </row>
    <row r="22" spans="1:33" ht="15.75" customHeight="1">
      <c r="A22" s="193" t="s">
        <v>1127</v>
      </c>
      <c r="B22" s="35" t="s">
        <v>78</v>
      </c>
      <c r="C22" s="190" t="s">
        <v>96</v>
      </c>
      <c r="D22" s="190"/>
      <c r="E22" s="35">
        <v>57.3</v>
      </c>
      <c r="F22" s="4">
        <v>1573</v>
      </c>
      <c r="G22" s="4">
        <f t="shared" si="19"/>
        <v>90132.9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1926.1224489795925</v>
      </c>
      <c r="N22" s="16">
        <f t="shared" si="3"/>
        <v>148.1632653061225</v>
      </c>
      <c r="O22" s="18">
        <f t="shared" si="4"/>
        <v>0</v>
      </c>
      <c r="P22" s="19">
        <f t="shared" si="5"/>
        <v>-5.6828885400313425</v>
      </c>
      <c r="Q22" s="20">
        <f t="shared" si="6"/>
        <v>0.96306122448979625</v>
      </c>
      <c r="R22" s="170"/>
      <c r="S22" s="27">
        <v>0.75069444444444444</v>
      </c>
      <c r="T22" s="27">
        <v>0.78472222222222221</v>
      </c>
      <c r="U22" s="4">
        <f t="shared" si="22"/>
        <v>5.9999999999999787</v>
      </c>
      <c r="V22" s="21">
        <f t="shared" si="21"/>
        <v>48.999999999999986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-73.877551020407509</v>
      </c>
      <c r="AF22" s="20">
        <f t="shared" si="9"/>
        <v>0.96306122448979625</v>
      </c>
      <c r="AG22" s="170"/>
    </row>
    <row r="23" spans="1:33" ht="15.75" customHeight="1">
      <c r="A23" s="193" t="s">
        <v>1127</v>
      </c>
      <c r="B23" s="35" t="s">
        <v>78</v>
      </c>
      <c r="C23" s="190" t="s">
        <v>95</v>
      </c>
      <c r="D23" s="190"/>
      <c r="E23" s="35">
        <v>53.68</v>
      </c>
      <c r="F23" s="4">
        <v>1373</v>
      </c>
      <c r="G23" s="4">
        <f t="shared" si="19"/>
        <v>73702.64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1445.2631578947378</v>
      </c>
      <c r="N23" s="16">
        <f t="shared" si="3"/>
        <v>90.328947368421112</v>
      </c>
      <c r="O23" s="18">
        <f t="shared" si="4"/>
        <v>0</v>
      </c>
      <c r="P23" s="19">
        <f t="shared" si="5"/>
        <v>-3.4210526315788883</v>
      </c>
      <c r="Q23" s="20">
        <f t="shared" si="6"/>
        <v>0.9635087719298252</v>
      </c>
      <c r="R23" s="170"/>
      <c r="S23" s="27">
        <v>0.78819444444444442</v>
      </c>
      <c r="T23" s="27">
        <v>0.82777777777777772</v>
      </c>
      <c r="U23" s="4">
        <f t="shared" si="22"/>
        <v>4.9999999999999822</v>
      </c>
      <c r="V23" s="21">
        <f t="shared" si="21"/>
        <v>56.999999999999957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-54.736842105262212</v>
      </c>
      <c r="AF23" s="20">
        <f t="shared" si="9"/>
        <v>0.9635087719298252</v>
      </c>
      <c r="AG23" s="170"/>
    </row>
    <row r="24" spans="1:33" ht="15.75" customHeight="1">
      <c r="A24" s="193" t="s">
        <v>1127</v>
      </c>
      <c r="B24" s="35" t="s">
        <v>1121</v>
      </c>
      <c r="C24" s="171"/>
      <c r="D24" s="171"/>
      <c r="E24" s="36"/>
      <c r="F24" s="4"/>
      <c r="G24" s="4"/>
      <c r="H24" s="4"/>
      <c r="I24" s="29">
        <v>14.8</v>
      </c>
      <c r="J24" s="17">
        <v>1900</v>
      </c>
      <c r="K24" s="16">
        <f t="shared" si="1"/>
        <v>128.37837837837839</v>
      </c>
      <c r="L24" s="29">
        <v>14.8</v>
      </c>
      <c r="M24" s="17">
        <f>AVERAGE(M19:M23)</f>
        <v>1820.8533118510563</v>
      </c>
      <c r="N24" s="16">
        <f t="shared" si="3"/>
        <v>123.03062917912543</v>
      </c>
      <c r="O24" s="18">
        <f t="shared" si="4"/>
        <v>0</v>
      </c>
      <c r="P24" s="19">
        <f t="shared" si="5"/>
        <v>-5.3477491992529593</v>
      </c>
      <c r="Q24" s="20">
        <f t="shared" si="6"/>
        <v>0.95834384834266118</v>
      </c>
      <c r="R24" s="170"/>
      <c r="S24" s="27"/>
      <c r="T24" s="27"/>
      <c r="U24" s="16"/>
      <c r="V24" s="21"/>
      <c r="W24" s="16"/>
      <c r="X24" s="16"/>
      <c r="Y24" s="30">
        <f>SUM(Y19:Y23)</f>
        <v>0</v>
      </c>
      <c r="Z24" s="30">
        <f>SUM(Z19:Z23)</f>
        <v>0</v>
      </c>
      <c r="AA24" s="166"/>
      <c r="AB24" s="166"/>
      <c r="AC24" s="30">
        <v>5</v>
      </c>
      <c r="AD24" s="30">
        <f>SUM(AD19:AD23)</f>
        <v>0</v>
      </c>
      <c r="AE24" s="18">
        <f t="shared" si="8"/>
        <v>-79.146688148943667</v>
      </c>
      <c r="AF24" s="20">
        <f t="shared" si="9"/>
        <v>0.95834384834266118</v>
      </c>
      <c r="AG24" s="170"/>
    </row>
    <row r="25" spans="1:33" ht="15.75" customHeight="1">
      <c r="A25" s="191" t="s">
        <v>55</v>
      </c>
      <c r="B25" s="35" t="s">
        <v>97</v>
      </c>
      <c r="C25" s="190" t="s">
        <v>98</v>
      </c>
      <c r="D25" s="190"/>
      <c r="E25" s="35">
        <v>31.29</v>
      </c>
      <c r="F25" s="4">
        <v>5700</v>
      </c>
      <c r="G25" s="4">
        <f t="shared" ref="G25:G32" si="23">E25*F25</f>
        <v>178353</v>
      </c>
      <c r="H25" s="21">
        <v>2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32" si="24">F25/V25*60</f>
        <v>2295.3020134228182</v>
      </c>
      <c r="N25" s="16">
        <f t="shared" si="3"/>
        <v>127.5167785234899</v>
      </c>
      <c r="O25" s="18">
        <f t="shared" si="4"/>
        <v>0</v>
      </c>
      <c r="P25" s="19">
        <f t="shared" si="5"/>
        <v>-5.8165548098434385</v>
      </c>
      <c r="Q25" s="20">
        <f t="shared" si="6"/>
        <v>0.95637583892617417</v>
      </c>
      <c r="R25" s="170">
        <f>Q33</f>
        <v>0.95849601691616459</v>
      </c>
      <c r="S25" s="27">
        <v>0.125</v>
      </c>
      <c r="T25" s="27">
        <v>0.22847222222222224</v>
      </c>
      <c r="U25" s="4"/>
      <c r="V25" s="21">
        <f t="shared" ref="V25:V32" si="25">(T25-S25)*24*60</f>
        <v>149.00000000000003</v>
      </c>
      <c r="W25" s="22">
        <f>T25</f>
        <v>0.22847222222222224</v>
      </c>
      <c r="X25" s="22">
        <f>S26</f>
        <v>0.24930555555555559</v>
      </c>
      <c r="Y25" s="22"/>
      <c r="Z25" s="22"/>
      <c r="AA25" s="162"/>
      <c r="AB25" s="162"/>
      <c r="AC25" s="24">
        <v>8</v>
      </c>
      <c r="AD25" s="24"/>
      <c r="AE25" s="18">
        <f t="shared" si="8"/>
        <v>-104.69798657718184</v>
      </c>
      <c r="AF25" s="20">
        <f t="shared" si="9"/>
        <v>0.95637583892617428</v>
      </c>
      <c r="AG25" s="170">
        <f>AF33</f>
        <v>0.95849601691616459</v>
      </c>
    </row>
    <row r="26" spans="1:33" ht="15.75" customHeight="1">
      <c r="A26" s="191" t="s">
        <v>1128</v>
      </c>
      <c r="B26" s="35" t="s">
        <v>97</v>
      </c>
      <c r="C26" s="190" t="s">
        <v>99</v>
      </c>
      <c r="D26" s="190"/>
      <c r="E26" s="35">
        <v>25.98</v>
      </c>
      <c r="F26" s="4">
        <v>2886</v>
      </c>
      <c r="G26" s="4">
        <f t="shared" si="23"/>
        <v>74978.28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2308.7999999999993</v>
      </c>
      <c r="N26" s="16">
        <f t="shared" si="3"/>
        <v>109.94285714285711</v>
      </c>
      <c r="O26" s="18">
        <f t="shared" si="4"/>
        <v>0</v>
      </c>
      <c r="P26" s="19">
        <f t="shared" si="5"/>
        <v>-4.3428571428571843</v>
      </c>
      <c r="Q26" s="20">
        <f t="shared" si="6"/>
        <v>0.96199999999999963</v>
      </c>
      <c r="R26" s="170"/>
      <c r="S26" s="27">
        <v>0.24930555555555559</v>
      </c>
      <c r="T26" s="27">
        <v>0.30138888888888893</v>
      </c>
      <c r="U26" s="4">
        <f t="shared" ref="U26:U32" si="26">(S26-T25)*24*60</f>
        <v>30.000000000000014</v>
      </c>
      <c r="V26" s="21">
        <f t="shared" si="25"/>
        <v>75.000000000000014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-91.200000000000728</v>
      </c>
      <c r="AF26" s="20">
        <f t="shared" si="9"/>
        <v>0.96199999999999974</v>
      </c>
      <c r="AG26" s="170"/>
    </row>
    <row r="27" spans="1:33" ht="15.75" customHeight="1">
      <c r="A27" s="191" t="s">
        <v>1129</v>
      </c>
      <c r="B27" s="35" t="s">
        <v>97</v>
      </c>
      <c r="C27" s="190" t="s">
        <v>100</v>
      </c>
      <c r="D27" s="190"/>
      <c r="E27" s="35">
        <v>26.2</v>
      </c>
      <c r="F27" s="4">
        <v>3000</v>
      </c>
      <c r="G27" s="4">
        <f t="shared" si="23"/>
        <v>78600</v>
      </c>
      <c r="H27" s="21">
        <v>2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2307.6923076923063</v>
      </c>
      <c r="N27" s="16">
        <f t="shared" si="3"/>
        <v>115.38461538461532</v>
      </c>
      <c r="O27" s="18">
        <f t="shared" si="4"/>
        <v>0</v>
      </c>
      <c r="P27" s="19">
        <f t="shared" si="5"/>
        <v>-4.6153846153846843</v>
      </c>
      <c r="Q27" s="20">
        <f t="shared" si="6"/>
        <v>0.96153846153846101</v>
      </c>
      <c r="R27" s="170"/>
      <c r="S27" s="27">
        <v>0.30694444444444446</v>
      </c>
      <c r="T27" s="27">
        <v>0.36111111111111116</v>
      </c>
      <c r="U27" s="4">
        <f t="shared" si="26"/>
        <v>7.9999999999999716</v>
      </c>
      <c r="V27" s="21">
        <f t="shared" si="25"/>
        <v>78.000000000000043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-92.307692307693742</v>
      </c>
      <c r="AF27" s="20">
        <f t="shared" si="9"/>
        <v>0.9615384615384609</v>
      </c>
      <c r="AG27" s="170"/>
    </row>
    <row r="28" spans="1:33" ht="15.75" customHeight="1">
      <c r="A28" s="191" t="s">
        <v>1129</v>
      </c>
      <c r="B28" s="35" t="s">
        <v>97</v>
      </c>
      <c r="C28" s="190" t="s">
        <v>101</v>
      </c>
      <c r="D28" s="190"/>
      <c r="E28" s="35">
        <v>25.99</v>
      </c>
      <c r="F28" s="4">
        <v>2400</v>
      </c>
      <c r="G28" s="4">
        <f t="shared" si="23"/>
        <v>62375.999999999993</v>
      </c>
      <c r="H28" s="21">
        <v>2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2285.7142857142853</v>
      </c>
      <c r="N28" s="16">
        <f t="shared" si="3"/>
        <v>163.26530612244895</v>
      </c>
      <c r="O28" s="18">
        <f t="shared" si="4"/>
        <v>0</v>
      </c>
      <c r="P28" s="19">
        <f t="shared" si="5"/>
        <v>-8.1632653061224687</v>
      </c>
      <c r="Q28" s="20">
        <f t="shared" si="6"/>
        <v>0.95238095238095222</v>
      </c>
      <c r="R28" s="170"/>
      <c r="S28" s="27">
        <v>0.36458333333333337</v>
      </c>
      <c r="T28" s="27">
        <v>0.40833333333333338</v>
      </c>
      <c r="U28" s="4">
        <f t="shared" si="26"/>
        <v>4.9999999999999822</v>
      </c>
      <c r="V28" s="21">
        <f t="shared" si="25"/>
        <v>63.000000000000014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-114.28571428571468</v>
      </c>
      <c r="AF28" s="20">
        <f t="shared" si="9"/>
        <v>0.95238095238095222</v>
      </c>
      <c r="AG28" s="170"/>
    </row>
    <row r="29" spans="1:33" ht="15.75" customHeight="1">
      <c r="A29" s="191" t="s">
        <v>1129</v>
      </c>
      <c r="B29" s="35" t="s">
        <v>97</v>
      </c>
      <c r="C29" s="190" t="s">
        <v>102</v>
      </c>
      <c r="D29" s="190"/>
      <c r="E29" s="35">
        <v>26.18</v>
      </c>
      <c r="F29" s="4">
        <v>1787</v>
      </c>
      <c r="G29" s="4">
        <f t="shared" si="23"/>
        <v>46783.659999999996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2330.8695652173915</v>
      </c>
      <c r="N29" s="16">
        <f t="shared" si="3"/>
        <v>122.67734553775745</v>
      </c>
      <c r="O29" s="18">
        <f t="shared" si="4"/>
        <v>0</v>
      </c>
      <c r="P29" s="19">
        <f t="shared" si="5"/>
        <v>-3.6384439359267589</v>
      </c>
      <c r="Q29" s="20">
        <f t="shared" si="6"/>
        <v>0.97119565217391313</v>
      </c>
      <c r="R29" s="170"/>
      <c r="S29" s="27">
        <v>0.41250000000000003</v>
      </c>
      <c r="T29" s="27">
        <v>0.44444444444444448</v>
      </c>
      <c r="U29" s="4">
        <f t="shared" si="26"/>
        <v>5.9999999999999787</v>
      </c>
      <c r="V29" s="21">
        <f t="shared" si="25"/>
        <v>46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-69.130434782608518</v>
      </c>
      <c r="AF29" s="20">
        <f t="shared" si="9"/>
        <v>0.97119565217391313</v>
      </c>
      <c r="AG29" s="170"/>
    </row>
    <row r="30" spans="1:33" ht="15.75" customHeight="1">
      <c r="A30" s="191" t="s">
        <v>1129</v>
      </c>
      <c r="B30" s="35" t="s">
        <v>97</v>
      </c>
      <c r="C30" s="190" t="s">
        <v>106</v>
      </c>
      <c r="D30" s="190"/>
      <c r="E30" s="35">
        <v>20.21</v>
      </c>
      <c r="F30" s="4">
        <v>2854</v>
      </c>
      <c r="G30" s="4">
        <f t="shared" si="23"/>
        <v>57679.340000000004</v>
      </c>
      <c r="H30" s="21" t="s">
        <v>133</v>
      </c>
      <c r="I30" s="15">
        <v>15</v>
      </c>
      <c r="J30" s="17">
        <v>2400</v>
      </c>
      <c r="K30" s="16">
        <f t="shared" si="1"/>
        <v>160</v>
      </c>
      <c r="L30" s="15">
        <v>15</v>
      </c>
      <c r="M30" s="17">
        <f t="shared" si="24"/>
        <v>2283.2000000000007</v>
      </c>
      <c r="N30" s="16">
        <f t="shared" si="3"/>
        <v>152.2133333333334</v>
      </c>
      <c r="O30" s="18">
        <f t="shared" si="4"/>
        <v>0</v>
      </c>
      <c r="P30" s="19">
        <f t="shared" si="5"/>
        <v>-7.7866666666666049</v>
      </c>
      <c r="Q30" s="20">
        <f t="shared" si="6"/>
        <v>0.9513333333333337</v>
      </c>
      <c r="R30" s="170"/>
      <c r="S30" s="27">
        <v>0.44791666666666669</v>
      </c>
      <c r="T30" s="27">
        <v>0.5</v>
      </c>
      <c r="U30" s="4">
        <f t="shared" si="26"/>
        <v>4.9999999999999822</v>
      </c>
      <c r="V30" s="21">
        <f t="shared" si="25"/>
        <v>74.999999999999972</v>
      </c>
      <c r="W30" s="22">
        <f>T30</f>
        <v>0.5</v>
      </c>
      <c r="X30" s="22">
        <f>S31</f>
        <v>0.54027777777777775</v>
      </c>
      <c r="Y30" s="22"/>
      <c r="Z30" s="22"/>
      <c r="AA30" s="162"/>
      <c r="AB30" s="162"/>
      <c r="AC30" s="24"/>
      <c r="AD30" s="24"/>
      <c r="AE30" s="18">
        <f t="shared" si="8"/>
        <v>-116.79999999999927</v>
      </c>
      <c r="AF30" s="20">
        <f t="shared" si="9"/>
        <v>0.95133333333333359</v>
      </c>
      <c r="AG30" s="170"/>
    </row>
    <row r="31" spans="1:33" ht="15.75" customHeight="1">
      <c r="A31" s="191" t="s">
        <v>1129</v>
      </c>
      <c r="B31" s="35" t="s">
        <v>97</v>
      </c>
      <c r="C31" s="190" t="s">
        <v>100</v>
      </c>
      <c r="D31" s="190"/>
      <c r="E31" s="35">
        <v>26.2</v>
      </c>
      <c r="F31" s="4">
        <v>1807</v>
      </c>
      <c r="G31" s="4">
        <f t="shared" si="23"/>
        <v>47343.4</v>
      </c>
      <c r="H31" s="21" t="s">
        <v>133</v>
      </c>
      <c r="I31" s="15">
        <v>20</v>
      </c>
      <c r="J31" s="17">
        <v>2400</v>
      </c>
      <c r="K31" s="16">
        <f t="shared" si="1"/>
        <v>120</v>
      </c>
      <c r="L31" s="15">
        <v>20</v>
      </c>
      <c r="M31" s="17">
        <f t="shared" si="24"/>
        <v>2306.8085106382982</v>
      </c>
      <c r="N31" s="16">
        <f t="shared" si="3"/>
        <v>115.34042553191492</v>
      </c>
      <c r="O31" s="18">
        <f t="shared" si="4"/>
        <v>0</v>
      </c>
      <c r="P31" s="19">
        <f t="shared" si="5"/>
        <v>-4.6595744680850828</v>
      </c>
      <c r="Q31" s="20">
        <f t="shared" si="6"/>
        <v>0.9611702127659576</v>
      </c>
      <c r="R31" s="170"/>
      <c r="S31" s="27">
        <v>0.54027777777777775</v>
      </c>
      <c r="T31" s="27">
        <v>0.57291666666666663</v>
      </c>
      <c r="U31" s="4">
        <f t="shared" si="26"/>
        <v>57.999999999999957</v>
      </c>
      <c r="V31" s="21">
        <f t="shared" si="25"/>
        <v>46.999999999999993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-93.19148936170177</v>
      </c>
      <c r="AF31" s="20">
        <f t="shared" si="9"/>
        <v>0.9611702127659576</v>
      </c>
      <c r="AG31" s="170"/>
    </row>
    <row r="32" spans="1:33" ht="15.75" customHeight="1">
      <c r="A32" s="191" t="s">
        <v>1129</v>
      </c>
      <c r="B32" s="35" t="s">
        <v>97</v>
      </c>
      <c r="C32" s="190" t="s">
        <v>101</v>
      </c>
      <c r="D32" s="190"/>
      <c r="E32" s="35">
        <v>25.99</v>
      </c>
      <c r="F32" s="4">
        <v>1447</v>
      </c>
      <c r="G32" s="4">
        <f t="shared" si="23"/>
        <v>37607.53</v>
      </c>
      <c r="H32" s="21" t="s">
        <v>133</v>
      </c>
      <c r="I32" s="15">
        <v>14</v>
      </c>
      <c r="J32" s="17">
        <v>2400</v>
      </c>
      <c r="K32" s="16">
        <f t="shared" si="1"/>
        <v>171.42857142857142</v>
      </c>
      <c r="L32" s="15">
        <v>14</v>
      </c>
      <c r="M32" s="17">
        <f t="shared" si="24"/>
        <v>2284.7368421052615</v>
      </c>
      <c r="N32" s="16">
        <f t="shared" si="3"/>
        <v>163.1954887218044</v>
      </c>
      <c r="O32" s="18">
        <f t="shared" si="4"/>
        <v>0</v>
      </c>
      <c r="P32" s="19">
        <f t="shared" si="5"/>
        <v>-8.2330827067670214</v>
      </c>
      <c r="Q32" s="20">
        <f t="shared" si="6"/>
        <v>0.95197368421052575</v>
      </c>
      <c r="R32" s="170"/>
      <c r="S32" s="27">
        <v>0.57708333333333328</v>
      </c>
      <c r="T32" s="27">
        <v>0.60347222222222219</v>
      </c>
      <c r="U32" s="4">
        <f t="shared" si="26"/>
        <v>5.9999999999999787</v>
      </c>
      <c r="V32" s="21">
        <f t="shared" si="25"/>
        <v>38.000000000000028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-115.26315789473847</v>
      </c>
      <c r="AF32" s="20">
        <f t="shared" si="9"/>
        <v>0.95197368421052564</v>
      </c>
      <c r="AG32" s="170"/>
    </row>
    <row r="33" spans="1:33" ht="15.75" customHeight="1">
      <c r="A33" s="191" t="s">
        <v>1129</v>
      </c>
      <c r="B33" s="35" t="s">
        <v>1130</v>
      </c>
      <c r="C33" s="171"/>
      <c r="D33" s="171"/>
      <c r="E33" s="36"/>
      <c r="F33" s="4"/>
      <c r="G33" s="4"/>
      <c r="H33" s="4"/>
      <c r="I33" s="29">
        <v>17.625</v>
      </c>
      <c r="J33" s="17">
        <v>2400</v>
      </c>
      <c r="K33" s="16">
        <f t="shared" si="1"/>
        <v>136.17021276595744</v>
      </c>
      <c r="L33" s="29">
        <v>17.625</v>
      </c>
      <c r="M33" s="17">
        <f>AVERAGE(M25:M32)</f>
        <v>2300.3904405987951</v>
      </c>
      <c r="N33" s="16">
        <f t="shared" si="3"/>
        <v>130.51860655879688</v>
      </c>
      <c r="O33" s="18">
        <f t="shared" si="4"/>
        <v>0</v>
      </c>
      <c r="P33" s="19">
        <f t="shared" si="5"/>
        <v>-5.6516062071605688</v>
      </c>
      <c r="Q33" s="20">
        <f t="shared" si="6"/>
        <v>0.95849601691616459</v>
      </c>
      <c r="R33" s="170"/>
      <c r="S33" s="27"/>
      <c r="T33" s="27"/>
      <c r="U33" s="4"/>
      <c r="V33" s="21"/>
      <c r="W33" s="4"/>
      <c r="X33" s="4"/>
      <c r="Y33" s="30">
        <f>SUM(Y25:Y32)</f>
        <v>0</v>
      </c>
      <c r="Z33" s="30">
        <f>SUM(Z25:Z32)</f>
        <v>0</v>
      </c>
      <c r="AA33" s="166"/>
      <c r="AB33" s="166"/>
      <c r="AC33" s="30">
        <v>8</v>
      </c>
      <c r="AD33" s="30">
        <f>SUM(AD25:AD32)</f>
        <v>0</v>
      </c>
      <c r="AE33" s="18">
        <f t="shared" si="8"/>
        <v>-99.609559401204933</v>
      </c>
      <c r="AF33" s="20">
        <f t="shared" si="9"/>
        <v>0.95849601691616459</v>
      </c>
      <c r="AG33" s="170"/>
    </row>
    <row r="34" spans="1:33" ht="15.75" customHeight="1">
      <c r="A34" s="188" t="s">
        <v>1131</v>
      </c>
      <c r="B34" s="35" t="s">
        <v>97</v>
      </c>
      <c r="C34" s="163" t="s">
        <v>103</v>
      </c>
      <c r="D34" s="163"/>
      <c r="E34" s="35">
        <v>26.2</v>
      </c>
      <c r="F34" s="4">
        <v>3500</v>
      </c>
      <c r="G34" s="4">
        <f t="shared" ref="G34:G40" si="27">E34*F34</f>
        <v>91700</v>
      </c>
      <c r="H34" s="21">
        <v>2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ref="M34:M40" si="28">F34/V34*60</f>
        <v>2282.608695652174</v>
      </c>
      <c r="N34" s="16">
        <f t="shared" si="3"/>
        <v>126.81159420289856</v>
      </c>
      <c r="O34" s="18">
        <f t="shared" si="4"/>
        <v>0</v>
      </c>
      <c r="P34" s="19">
        <f t="shared" si="5"/>
        <v>-6.5217391304347814</v>
      </c>
      <c r="Q34" s="20">
        <f t="shared" si="6"/>
        <v>0.95108695652173914</v>
      </c>
      <c r="R34" s="170">
        <f>Q41</f>
        <v>0.95639084604819768</v>
      </c>
      <c r="S34" s="27">
        <v>0.125</v>
      </c>
      <c r="T34" s="27">
        <v>0.18888888888888888</v>
      </c>
      <c r="U34" s="4"/>
      <c r="V34" s="21">
        <f t="shared" ref="V34:V40" si="29">(T34-S34)*24*60</f>
        <v>92</v>
      </c>
      <c r="W34" s="27">
        <f>T34</f>
        <v>0.18888888888888888</v>
      </c>
      <c r="X34" s="27">
        <f>S35</f>
        <v>0.20833333333333331</v>
      </c>
      <c r="Y34" s="27"/>
      <c r="Z34" s="27"/>
      <c r="AA34" s="162"/>
      <c r="AB34" s="162"/>
      <c r="AC34" s="24">
        <v>7</v>
      </c>
      <c r="AD34" s="24"/>
      <c r="AE34" s="18">
        <f t="shared" si="8"/>
        <v>-117.39130434782601</v>
      </c>
      <c r="AF34" s="20">
        <f t="shared" si="9"/>
        <v>0.95108695652173914</v>
      </c>
      <c r="AG34" s="170">
        <f>AF41</f>
        <v>0.9563908460481978</v>
      </c>
    </row>
    <row r="35" spans="1:33" ht="15.75" customHeight="1">
      <c r="A35" s="188" t="s">
        <v>1131</v>
      </c>
      <c r="B35" s="35" t="s">
        <v>97</v>
      </c>
      <c r="C35" s="163" t="s">
        <v>104</v>
      </c>
      <c r="D35" s="163"/>
      <c r="E35" s="35">
        <v>20.52</v>
      </c>
      <c r="F35" s="4">
        <v>3649</v>
      </c>
      <c r="G35" s="4">
        <f t="shared" si="27"/>
        <v>74877.48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8"/>
        <v>2304.6315789473688</v>
      </c>
      <c r="N35" s="16">
        <f t="shared" si="3"/>
        <v>128.03508771929828</v>
      </c>
      <c r="O35" s="18">
        <f t="shared" si="4"/>
        <v>0</v>
      </c>
      <c r="P35" s="19">
        <f t="shared" si="5"/>
        <v>-5.2982456140350678</v>
      </c>
      <c r="Q35" s="20">
        <f t="shared" si="6"/>
        <v>0.96026315789473704</v>
      </c>
      <c r="R35" s="170"/>
      <c r="S35" s="27">
        <v>0.20833333333333331</v>
      </c>
      <c r="T35" s="27">
        <v>0.27430555555555552</v>
      </c>
      <c r="U35" s="4">
        <f t="shared" ref="U35:U40" si="30">(S35-T34)*24*60</f>
        <v>27.999999999999979</v>
      </c>
      <c r="V35" s="21">
        <f t="shared" si="29"/>
        <v>94.999999999999986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-95.36842105263122</v>
      </c>
      <c r="AF35" s="20">
        <f t="shared" si="9"/>
        <v>0.96026315789473704</v>
      </c>
      <c r="AG35" s="170"/>
    </row>
    <row r="36" spans="1:33">
      <c r="A36" s="189" t="s">
        <v>1131</v>
      </c>
      <c r="B36" s="35" t="s">
        <v>97</v>
      </c>
      <c r="C36" s="163" t="s">
        <v>105</v>
      </c>
      <c r="D36" s="163"/>
      <c r="E36" s="35">
        <v>26.39</v>
      </c>
      <c r="F36" s="4">
        <v>5436</v>
      </c>
      <c r="G36" s="4">
        <f t="shared" si="27"/>
        <v>143456.04</v>
      </c>
      <c r="H36" s="21" t="s">
        <v>133</v>
      </c>
      <c r="I36" s="15">
        <v>19</v>
      </c>
      <c r="J36" s="17">
        <v>2400</v>
      </c>
      <c r="K36" s="16">
        <f t="shared" si="1"/>
        <v>126.31578947368421</v>
      </c>
      <c r="L36" s="15">
        <v>19</v>
      </c>
      <c r="M36" s="17">
        <f t="shared" si="28"/>
        <v>2280.8391608391612</v>
      </c>
      <c r="N36" s="16">
        <f t="shared" si="3"/>
        <v>120.04416635995585</v>
      </c>
      <c r="O36" s="18">
        <f t="shared" si="4"/>
        <v>0</v>
      </c>
      <c r="P36" s="19">
        <f t="shared" si="5"/>
        <v>-6.2716231137283529</v>
      </c>
      <c r="Q36" s="20">
        <f t="shared" si="6"/>
        <v>0.95034965034965058</v>
      </c>
      <c r="R36" s="170"/>
      <c r="S36" s="27">
        <v>0.27777777777777773</v>
      </c>
      <c r="T36" s="27">
        <v>0.37708333333333327</v>
      </c>
      <c r="U36" s="4">
        <f t="shared" si="30"/>
        <v>4.9999999999999822</v>
      </c>
      <c r="V36" s="21">
        <f t="shared" si="29"/>
        <v>142.99999999999997</v>
      </c>
      <c r="W36" s="4"/>
      <c r="X36" s="4"/>
      <c r="Y36" s="4"/>
      <c r="Z36" s="4"/>
      <c r="AA36" s="162"/>
      <c r="AB36" s="162"/>
      <c r="AC36" s="24"/>
      <c r="AD36" s="24"/>
      <c r="AE36" s="18">
        <f t="shared" si="8"/>
        <v>-119.1608391608388</v>
      </c>
      <c r="AF36" s="20">
        <f t="shared" si="9"/>
        <v>0.95034965034965047</v>
      </c>
      <c r="AG36" s="170"/>
    </row>
    <row r="37" spans="1:33">
      <c r="A37" s="189" t="s">
        <v>1132</v>
      </c>
      <c r="B37" s="35" t="s">
        <v>97</v>
      </c>
      <c r="C37" s="163" t="s">
        <v>107</v>
      </c>
      <c r="D37" s="163"/>
      <c r="E37" s="35">
        <v>20.52</v>
      </c>
      <c r="F37" s="4">
        <v>2796</v>
      </c>
      <c r="G37" s="4">
        <f t="shared" si="27"/>
        <v>57373.919999999998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2298.0821917808221</v>
      </c>
      <c r="N37" s="16">
        <f t="shared" si="3"/>
        <v>127.67123287671234</v>
      </c>
      <c r="O37" s="18">
        <f t="shared" si="4"/>
        <v>0</v>
      </c>
      <c r="P37" s="19">
        <f t="shared" si="5"/>
        <v>-5.6621004566210047</v>
      </c>
      <c r="Q37" s="20">
        <f t="shared" si="6"/>
        <v>0.95753424657534247</v>
      </c>
      <c r="R37" s="170"/>
      <c r="S37" s="27">
        <v>0.38194444444444436</v>
      </c>
      <c r="T37" s="27">
        <v>0.4326388888888888</v>
      </c>
      <c r="U37" s="4">
        <f t="shared" si="30"/>
        <v>6.9999999999999751</v>
      </c>
      <c r="V37" s="21">
        <f t="shared" si="29"/>
        <v>72.999999999999986</v>
      </c>
      <c r="W37" s="22"/>
      <c r="X37" s="22"/>
      <c r="Y37" s="22"/>
      <c r="Z37" s="22"/>
      <c r="AA37" s="162"/>
      <c r="AB37" s="162"/>
      <c r="AC37" s="24"/>
      <c r="AD37" s="24"/>
      <c r="AE37" s="18">
        <f t="shared" si="8"/>
        <v>-101.91780821917791</v>
      </c>
      <c r="AF37" s="20">
        <f t="shared" si="9"/>
        <v>0.95753424657534258</v>
      </c>
      <c r="AG37" s="170"/>
    </row>
    <row r="38" spans="1:33">
      <c r="A38" s="189" t="s">
        <v>1131</v>
      </c>
      <c r="B38" s="35" t="s">
        <v>97</v>
      </c>
      <c r="C38" s="163" t="s">
        <v>304</v>
      </c>
      <c r="D38" s="163"/>
      <c r="E38" s="35">
        <v>22.69</v>
      </c>
      <c r="F38" s="4">
        <v>3500</v>
      </c>
      <c r="G38" s="4">
        <f t="shared" si="27"/>
        <v>79415</v>
      </c>
      <c r="H38" s="21">
        <v>2</v>
      </c>
      <c r="I38" s="15">
        <v>15</v>
      </c>
      <c r="J38" s="17">
        <v>2400</v>
      </c>
      <c r="K38" s="16">
        <f t="shared" si="1"/>
        <v>160</v>
      </c>
      <c r="L38" s="15">
        <v>15</v>
      </c>
      <c r="M38" s="17">
        <f t="shared" si="28"/>
        <v>2307.6923076923076</v>
      </c>
      <c r="N38" s="16">
        <f t="shared" si="3"/>
        <v>153.84615384615384</v>
      </c>
      <c r="O38" s="18">
        <f t="shared" si="4"/>
        <v>0</v>
      </c>
      <c r="P38" s="19">
        <f t="shared" si="5"/>
        <v>-6.1538461538461604</v>
      </c>
      <c r="Q38" s="20">
        <f t="shared" si="6"/>
        <v>0.96153846153846145</v>
      </c>
      <c r="R38" s="170"/>
      <c r="S38" s="27">
        <v>0.43819444444444433</v>
      </c>
      <c r="T38" s="27">
        <v>0.50138888888888877</v>
      </c>
      <c r="U38" s="4">
        <f t="shared" si="30"/>
        <v>7.9999999999999716</v>
      </c>
      <c r="V38" s="21">
        <f t="shared" si="29"/>
        <v>91</v>
      </c>
      <c r="W38" s="22">
        <f>T38</f>
        <v>0.50138888888888877</v>
      </c>
      <c r="X38" s="22">
        <f>S39</f>
        <v>0.53958333333333319</v>
      </c>
      <c r="Y38" s="22"/>
      <c r="Z38" s="22"/>
      <c r="AA38" s="162"/>
      <c r="AB38" s="162"/>
      <c r="AC38" s="24"/>
      <c r="AD38" s="24"/>
      <c r="AE38" s="18">
        <f t="shared" si="8"/>
        <v>-92.307692307692378</v>
      </c>
      <c r="AF38" s="20">
        <f t="shared" si="9"/>
        <v>0.96153846153846156</v>
      </c>
      <c r="AG38" s="170"/>
    </row>
    <row r="39" spans="1:33">
      <c r="A39" s="189" t="s">
        <v>1133</v>
      </c>
      <c r="B39" s="35" t="s">
        <v>97</v>
      </c>
      <c r="C39" s="163" t="s">
        <v>304</v>
      </c>
      <c r="D39" s="163"/>
      <c r="E39" s="35">
        <v>22.69</v>
      </c>
      <c r="F39" s="4">
        <v>3917</v>
      </c>
      <c r="G39" s="4">
        <f t="shared" si="27"/>
        <v>88876.73000000001</v>
      </c>
      <c r="H39" s="21" t="s">
        <v>133</v>
      </c>
      <c r="I39" s="15">
        <v>15</v>
      </c>
      <c r="J39" s="17">
        <v>2400</v>
      </c>
      <c r="K39" s="16">
        <f t="shared" si="1"/>
        <v>160</v>
      </c>
      <c r="L39" s="15">
        <v>15</v>
      </c>
      <c r="M39" s="17">
        <f t="shared" si="28"/>
        <v>2281.747572815535</v>
      </c>
      <c r="N39" s="16">
        <f t="shared" si="3"/>
        <v>152.116504854369</v>
      </c>
      <c r="O39" s="18">
        <f t="shared" si="4"/>
        <v>0</v>
      </c>
      <c r="P39" s="19">
        <f t="shared" si="5"/>
        <v>-7.8834951456310023</v>
      </c>
      <c r="Q39" s="20">
        <f t="shared" si="6"/>
        <v>0.95072815533980626</v>
      </c>
      <c r="R39" s="170"/>
      <c r="S39" s="27">
        <v>0.53958333333333319</v>
      </c>
      <c r="T39" s="27">
        <v>0.61111111111111094</v>
      </c>
      <c r="U39" s="4">
        <f t="shared" si="30"/>
        <v>54.999999999999964</v>
      </c>
      <c r="V39" s="21">
        <f t="shared" si="29"/>
        <v>102.99999999999996</v>
      </c>
      <c r="W39" s="22"/>
      <c r="X39" s="22"/>
      <c r="Y39" s="22"/>
      <c r="Z39" s="22"/>
      <c r="AA39" s="162"/>
      <c r="AB39" s="162"/>
      <c r="AC39" s="24"/>
      <c r="AD39" s="24"/>
      <c r="AE39" s="18">
        <f t="shared" si="8"/>
        <v>-118.25242718446498</v>
      </c>
      <c r="AF39" s="20">
        <f t="shared" si="9"/>
        <v>0.95072815533980626</v>
      </c>
      <c r="AG39" s="170"/>
    </row>
    <row r="40" spans="1:33">
      <c r="A40" s="189" t="s">
        <v>1131</v>
      </c>
      <c r="B40" s="35" t="s">
        <v>97</v>
      </c>
      <c r="C40" s="163" t="s">
        <v>103</v>
      </c>
      <c r="D40" s="163"/>
      <c r="E40" s="35">
        <v>26.2</v>
      </c>
      <c r="F40" s="4">
        <v>2620</v>
      </c>
      <c r="G40" s="4">
        <f t="shared" si="27"/>
        <v>68644</v>
      </c>
      <c r="H40" s="21" t="s">
        <v>133</v>
      </c>
      <c r="I40" s="15">
        <v>18</v>
      </c>
      <c r="J40" s="17">
        <v>2400</v>
      </c>
      <c r="K40" s="16">
        <f t="shared" si="1"/>
        <v>133.33333333333334</v>
      </c>
      <c r="L40" s="15">
        <v>18</v>
      </c>
      <c r="M40" s="17">
        <f t="shared" si="28"/>
        <v>2311.7647058823559</v>
      </c>
      <c r="N40" s="16">
        <f t="shared" si="3"/>
        <v>128.43137254901978</v>
      </c>
      <c r="O40" s="18">
        <f t="shared" si="4"/>
        <v>0</v>
      </c>
      <c r="P40" s="19">
        <f t="shared" si="5"/>
        <v>-4.9019607843135589</v>
      </c>
      <c r="Q40" s="20">
        <f t="shared" si="6"/>
        <v>0.9632352941176483</v>
      </c>
      <c r="R40" s="170"/>
      <c r="S40" s="27">
        <v>0.61458333333333315</v>
      </c>
      <c r="T40" s="27">
        <v>0.66180555555555531</v>
      </c>
      <c r="U40" s="4">
        <f t="shared" si="30"/>
        <v>4.9999999999999822</v>
      </c>
      <c r="V40" s="21">
        <f t="shared" si="29"/>
        <v>67.999999999999915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-88.235294117644116</v>
      </c>
      <c r="AF40" s="20">
        <f t="shared" si="9"/>
        <v>0.9632352941176483</v>
      </c>
      <c r="AG40" s="170"/>
    </row>
    <row r="41" spans="1:33">
      <c r="A41" s="189" t="s">
        <v>1131</v>
      </c>
      <c r="B41" s="16" t="s">
        <v>1130</v>
      </c>
      <c r="C41" s="171"/>
      <c r="D41" s="171"/>
      <c r="E41" s="36"/>
      <c r="F41" s="16"/>
      <c r="G41" s="16"/>
      <c r="H41" s="4"/>
      <c r="I41" s="29">
        <v>17.285714285714285</v>
      </c>
      <c r="J41" s="17">
        <v>2400</v>
      </c>
      <c r="K41" s="16">
        <f t="shared" si="1"/>
        <v>138.84297520661158</v>
      </c>
      <c r="L41" s="29">
        <v>17.285714285714285</v>
      </c>
      <c r="M41" s="17">
        <f>AVERAGE(M34:M40)</f>
        <v>2295.3380305156747</v>
      </c>
      <c r="N41" s="16">
        <f t="shared" si="3"/>
        <v>132.78815052570019</v>
      </c>
      <c r="O41" s="18">
        <f t="shared" si="4"/>
        <v>0</v>
      </c>
      <c r="P41" s="19">
        <f t="shared" si="5"/>
        <v>-6.0548246809113948</v>
      </c>
      <c r="Q41" s="20">
        <f t="shared" si="6"/>
        <v>0.95639084604819768</v>
      </c>
      <c r="R41" s="170"/>
      <c r="S41" s="27"/>
      <c r="T41" s="27"/>
      <c r="U41" s="16"/>
      <c r="V41" s="21"/>
      <c r="W41" s="16"/>
      <c r="X41" s="16"/>
      <c r="Y41" s="30">
        <f>SUM(Y34:Y40)</f>
        <v>0</v>
      </c>
      <c r="Z41" s="30">
        <f>SUM(Z34:Z40)</f>
        <v>0</v>
      </c>
      <c r="AA41" s="166"/>
      <c r="AB41" s="166"/>
      <c r="AC41" s="30">
        <v>7</v>
      </c>
      <c r="AD41" s="30">
        <f>SUM(AD34:AD40)</f>
        <v>0</v>
      </c>
      <c r="AE41" s="18">
        <f t="shared" si="8"/>
        <v>-104.66196948432525</v>
      </c>
      <c r="AF41" s="20">
        <f t="shared" si="9"/>
        <v>0.9563908460481978</v>
      </c>
      <c r="AG41" s="170"/>
    </row>
    <row r="42" spans="1:33" ht="15.75" customHeight="1">
      <c r="A42" s="182" t="s">
        <v>1134</v>
      </c>
      <c r="B42" s="35" t="s">
        <v>108</v>
      </c>
      <c r="C42" s="174" t="s">
        <v>109</v>
      </c>
      <c r="D42" s="175"/>
      <c r="E42" s="35">
        <v>34.36</v>
      </c>
      <c r="F42" s="4">
        <v>2274</v>
      </c>
      <c r="G42" s="4">
        <f t="shared" ref="G42:G49" si="31">E42*F42</f>
        <v>78134.64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ref="M42:M49" si="32">F42/V42*60</f>
        <v>2902.978723404256</v>
      </c>
      <c r="N42" s="17">
        <f t="shared" si="3"/>
        <v>290.29787234042561</v>
      </c>
      <c r="O42" s="18">
        <f t="shared" si="4"/>
        <v>0</v>
      </c>
      <c r="P42" s="19">
        <f t="shared" si="5"/>
        <v>-9.7021276595743871</v>
      </c>
      <c r="Q42" s="20">
        <f t="shared" si="6"/>
        <v>0.96765957446808537</v>
      </c>
      <c r="R42" s="185">
        <f>Q50</f>
        <v>0.96027908516763882</v>
      </c>
      <c r="S42" s="27">
        <v>0.20833333333333334</v>
      </c>
      <c r="T42" s="27">
        <v>0.24097222222222223</v>
      </c>
      <c r="U42" s="27"/>
      <c r="V42" s="21">
        <f t="shared" ref="V42:V49" si="33">(T42-S42)*24*60</f>
        <v>46.999999999999993</v>
      </c>
      <c r="W42" s="22"/>
      <c r="X42" s="22"/>
      <c r="Y42" s="25"/>
      <c r="Z42" s="25"/>
      <c r="AA42" s="176"/>
      <c r="AB42" s="177"/>
      <c r="AC42" s="24">
        <v>8</v>
      </c>
      <c r="AD42" s="24"/>
      <c r="AE42" s="18">
        <f t="shared" si="8"/>
        <v>-97.021276595743984</v>
      </c>
      <c r="AF42" s="20">
        <f t="shared" si="9"/>
        <v>0.96765957446808537</v>
      </c>
      <c r="AG42" s="185">
        <f>AF50</f>
        <v>0.96027908516763882</v>
      </c>
    </row>
    <row r="43" spans="1:33" ht="15.75" customHeight="1">
      <c r="A43" s="183" t="s">
        <v>1134</v>
      </c>
      <c r="B43" s="35" t="s">
        <v>108</v>
      </c>
      <c r="C43" s="174" t="s">
        <v>110</v>
      </c>
      <c r="D43" s="175"/>
      <c r="E43" s="35">
        <v>26.78</v>
      </c>
      <c r="F43" s="4">
        <v>2734</v>
      </c>
      <c r="G43" s="4">
        <f t="shared" si="31"/>
        <v>73216.52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2877.8947368421072</v>
      </c>
      <c r="N43" s="17">
        <f t="shared" si="3"/>
        <v>287.78947368421075</v>
      </c>
      <c r="O43" s="18">
        <f t="shared" si="4"/>
        <v>0</v>
      </c>
      <c r="P43" s="19">
        <f t="shared" si="5"/>
        <v>-12.210526315789252</v>
      </c>
      <c r="Q43" s="20">
        <f t="shared" si="6"/>
        <v>0.95929824561403587</v>
      </c>
      <c r="R43" s="186"/>
      <c r="S43" s="27">
        <v>0.24583333333333335</v>
      </c>
      <c r="T43" s="27">
        <v>0.28541666666666665</v>
      </c>
      <c r="U43" s="4">
        <f t="shared" ref="U43:U49" si="34">(S43-T42)*24*60</f>
        <v>7.0000000000000151</v>
      </c>
      <c r="V43" s="21">
        <f t="shared" si="33"/>
        <v>56.999999999999957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-122.10526315789275</v>
      </c>
      <c r="AF43" s="20">
        <f t="shared" si="9"/>
        <v>0.95929824561403576</v>
      </c>
      <c r="AG43" s="186"/>
    </row>
    <row r="44" spans="1:33" ht="15.75" customHeight="1">
      <c r="A44" s="183" t="s">
        <v>1135</v>
      </c>
      <c r="B44" s="35" t="s">
        <v>108</v>
      </c>
      <c r="C44" s="174" t="s">
        <v>111</v>
      </c>
      <c r="D44" s="175"/>
      <c r="E44" s="35">
        <v>21.13</v>
      </c>
      <c r="F44" s="4">
        <v>2500</v>
      </c>
      <c r="G44" s="4">
        <f t="shared" si="31"/>
        <v>52825</v>
      </c>
      <c r="H44" s="21">
        <v>2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si="32"/>
        <v>2884.6153846153861</v>
      </c>
      <c r="N44" s="17">
        <f t="shared" si="3"/>
        <v>288.46153846153862</v>
      </c>
      <c r="O44" s="18">
        <f t="shared" si="4"/>
        <v>0</v>
      </c>
      <c r="P44" s="19">
        <f t="shared" si="5"/>
        <v>-11.538461538461377</v>
      </c>
      <c r="Q44" s="20">
        <f t="shared" si="6"/>
        <v>0.96153846153846212</v>
      </c>
      <c r="R44" s="186"/>
      <c r="S44" s="27">
        <v>0.28888888888888886</v>
      </c>
      <c r="T44" s="27">
        <v>0.32499999999999996</v>
      </c>
      <c r="U44" s="4">
        <f t="shared" si="34"/>
        <v>4.9999999999999822</v>
      </c>
      <c r="V44" s="21">
        <f t="shared" si="33"/>
        <v>51.999999999999972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-115.38461538461388</v>
      </c>
      <c r="AF44" s="20">
        <f t="shared" si="9"/>
        <v>0.96153846153846201</v>
      </c>
      <c r="AG44" s="186"/>
    </row>
    <row r="45" spans="1:33" ht="15.75" customHeight="1">
      <c r="A45" s="183" t="s">
        <v>1134</v>
      </c>
      <c r="B45" s="35" t="s">
        <v>108</v>
      </c>
      <c r="C45" s="174" t="s">
        <v>112</v>
      </c>
      <c r="D45" s="175"/>
      <c r="E45" s="35">
        <v>27.17</v>
      </c>
      <c r="F45" s="4">
        <v>4000</v>
      </c>
      <c r="G45" s="4">
        <f t="shared" si="31"/>
        <v>108680</v>
      </c>
      <c r="H45" s="21">
        <v>2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si="32"/>
        <v>2857.1428571428564</v>
      </c>
      <c r="N45" s="17">
        <f t="shared" si="3"/>
        <v>285.71428571428567</v>
      </c>
      <c r="O45" s="18">
        <f t="shared" si="4"/>
        <v>0</v>
      </c>
      <c r="P45" s="19">
        <f t="shared" si="5"/>
        <v>-14.285714285714334</v>
      </c>
      <c r="Q45" s="20">
        <f t="shared" si="6"/>
        <v>0.95238095238095222</v>
      </c>
      <c r="R45" s="186"/>
      <c r="S45" s="27">
        <v>0.32916666666666661</v>
      </c>
      <c r="T45" s="27">
        <v>0.38749999999999996</v>
      </c>
      <c r="U45" s="4">
        <f t="shared" si="34"/>
        <v>5.9999999999999787</v>
      </c>
      <c r="V45" s="21">
        <f t="shared" si="33"/>
        <v>84.000000000000028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-142.85714285714357</v>
      </c>
      <c r="AF45" s="20">
        <f t="shared" si="9"/>
        <v>0.95238095238095211</v>
      </c>
      <c r="AG45" s="186"/>
    </row>
    <row r="46" spans="1:33" ht="15.75" customHeight="1">
      <c r="A46" s="183" t="s">
        <v>1134</v>
      </c>
      <c r="B46" s="35" t="s">
        <v>108</v>
      </c>
      <c r="C46" s="174" t="s">
        <v>305</v>
      </c>
      <c r="D46" s="175"/>
      <c r="E46" s="35">
        <v>28.3</v>
      </c>
      <c r="F46" s="4">
        <v>3215</v>
      </c>
      <c r="G46" s="4">
        <f t="shared" si="31"/>
        <v>90984.5</v>
      </c>
      <c r="H46" s="21" t="s">
        <v>133</v>
      </c>
      <c r="I46" s="15">
        <v>8</v>
      </c>
      <c r="J46" s="17">
        <v>3000</v>
      </c>
      <c r="K46" s="16">
        <f t="shared" si="1"/>
        <v>375</v>
      </c>
      <c r="L46" s="15">
        <v>8</v>
      </c>
      <c r="M46" s="17">
        <f t="shared" si="32"/>
        <v>2879.1044776119406</v>
      </c>
      <c r="N46" s="17">
        <f t="shared" si="3"/>
        <v>359.88805970149258</v>
      </c>
      <c r="O46" s="18">
        <f t="shared" si="4"/>
        <v>0</v>
      </c>
      <c r="P46" s="19">
        <f t="shared" si="5"/>
        <v>-15.11194029850742</v>
      </c>
      <c r="Q46" s="20">
        <f t="shared" si="6"/>
        <v>0.95970149253731352</v>
      </c>
      <c r="R46" s="186"/>
      <c r="S46" s="27">
        <v>0.39097222222222217</v>
      </c>
      <c r="T46" s="27">
        <v>0.43749999999999994</v>
      </c>
      <c r="U46" s="4">
        <f t="shared" si="34"/>
        <v>4.9999999999999822</v>
      </c>
      <c r="V46" s="21">
        <f t="shared" si="33"/>
        <v>67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-120.89552238805936</v>
      </c>
      <c r="AF46" s="20">
        <f t="shared" si="9"/>
        <v>0.95970149253731352</v>
      </c>
      <c r="AG46" s="186"/>
    </row>
    <row r="47" spans="1:33" ht="15.75" customHeight="1">
      <c r="A47" s="183" t="s">
        <v>1134</v>
      </c>
      <c r="B47" s="35" t="s">
        <v>108</v>
      </c>
      <c r="C47" s="174" t="s">
        <v>113</v>
      </c>
      <c r="D47" s="175"/>
      <c r="E47" s="35">
        <v>35.869999999999997</v>
      </c>
      <c r="F47" s="4">
        <v>3843</v>
      </c>
      <c r="G47" s="4">
        <f t="shared" si="31"/>
        <v>137848.41</v>
      </c>
      <c r="H47" s="21" t="s">
        <v>133</v>
      </c>
      <c r="I47" s="15">
        <v>9</v>
      </c>
      <c r="J47" s="17">
        <v>3000</v>
      </c>
      <c r="K47" s="16">
        <f t="shared" si="1"/>
        <v>333.33333333333331</v>
      </c>
      <c r="L47" s="15">
        <v>9</v>
      </c>
      <c r="M47" s="17">
        <f t="shared" si="32"/>
        <v>2882.2500000000014</v>
      </c>
      <c r="N47" s="17">
        <f t="shared" si="3"/>
        <v>320.25000000000017</v>
      </c>
      <c r="O47" s="18">
        <f t="shared" si="4"/>
        <v>0</v>
      </c>
      <c r="P47" s="19">
        <f t="shared" si="5"/>
        <v>-13.083333333333144</v>
      </c>
      <c r="Q47" s="20">
        <f t="shared" si="6"/>
        <v>0.96075000000000055</v>
      </c>
      <c r="R47" s="186"/>
      <c r="S47" s="27">
        <v>0.44236111111111104</v>
      </c>
      <c r="T47" s="27">
        <v>0.49791666666666656</v>
      </c>
      <c r="U47" s="4">
        <f t="shared" si="34"/>
        <v>6.9999999999999751</v>
      </c>
      <c r="V47" s="21">
        <f t="shared" si="33"/>
        <v>79.999999999999957</v>
      </c>
      <c r="W47" s="22">
        <f>T47</f>
        <v>0.49791666666666656</v>
      </c>
      <c r="X47" s="22">
        <f>S48</f>
        <v>0.53611111111111098</v>
      </c>
      <c r="Y47" s="25"/>
      <c r="Z47" s="25"/>
      <c r="AA47" s="176"/>
      <c r="AB47" s="177"/>
      <c r="AC47" s="24"/>
      <c r="AD47" s="24"/>
      <c r="AE47" s="18">
        <f t="shared" si="8"/>
        <v>-117.74999999999864</v>
      </c>
      <c r="AF47" s="20">
        <f t="shared" si="9"/>
        <v>0.96075000000000044</v>
      </c>
      <c r="AG47" s="186"/>
    </row>
    <row r="48" spans="1:33" ht="15.75" customHeight="1">
      <c r="A48" s="183" t="s">
        <v>1134</v>
      </c>
      <c r="B48" s="35" t="s">
        <v>108</v>
      </c>
      <c r="C48" s="174" t="s">
        <v>111</v>
      </c>
      <c r="D48" s="175"/>
      <c r="E48" s="35">
        <v>21.13</v>
      </c>
      <c r="F48" s="4">
        <v>2815</v>
      </c>
      <c r="G48" s="4">
        <f t="shared" si="31"/>
        <v>59480.95</v>
      </c>
      <c r="H48" s="21" t="s">
        <v>133</v>
      </c>
      <c r="I48" s="15">
        <v>10</v>
      </c>
      <c r="J48" s="17">
        <v>3000</v>
      </c>
      <c r="K48" s="16">
        <f t="shared" si="1"/>
        <v>300</v>
      </c>
      <c r="L48" s="15">
        <v>10</v>
      </c>
      <c r="M48" s="17">
        <f t="shared" si="32"/>
        <v>2862.7118644067823</v>
      </c>
      <c r="N48" s="17">
        <f t="shared" si="3"/>
        <v>286.27118644067821</v>
      </c>
      <c r="O48" s="18">
        <f t="shared" si="4"/>
        <v>0</v>
      </c>
      <c r="P48" s="19">
        <f t="shared" si="5"/>
        <v>-13.728813559321793</v>
      </c>
      <c r="Q48" s="20">
        <f t="shared" si="6"/>
        <v>0.95423728813559405</v>
      </c>
      <c r="R48" s="186"/>
      <c r="S48" s="27">
        <v>0.53611111111111098</v>
      </c>
      <c r="T48" s="27">
        <v>0.57708333333333317</v>
      </c>
      <c r="U48" s="4">
        <f t="shared" si="34"/>
        <v>54.999999999999964</v>
      </c>
      <c r="V48" s="21">
        <f t="shared" si="33"/>
        <v>58.99999999999995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-137.2881355932177</v>
      </c>
      <c r="AF48" s="20">
        <f t="shared" si="9"/>
        <v>0.95423728813559405</v>
      </c>
      <c r="AG48" s="186"/>
    </row>
    <row r="49" spans="1:33" ht="15.75" customHeight="1">
      <c r="A49" s="183" t="s">
        <v>1135</v>
      </c>
      <c r="B49" s="35" t="s">
        <v>108</v>
      </c>
      <c r="C49" s="174" t="s">
        <v>112</v>
      </c>
      <c r="D49" s="175"/>
      <c r="E49" s="35">
        <v>27.17</v>
      </c>
      <c r="F49" s="4">
        <v>2900</v>
      </c>
      <c r="G49" s="4">
        <f t="shared" si="31"/>
        <v>78793</v>
      </c>
      <c r="H49" s="21" t="s">
        <v>133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2900.0000000000027</v>
      </c>
      <c r="N49" s="17">
        <f t="shared" si="3"/>
        <v>290.00000000000028</v>
      </c>
      <c r="O49" s="18">
        <f t="shared" si="4"/>
        <v>0</v>
      </c>
      <c r="P49" s="19">
        <f t="shared" si="5"/>
        <v>-9.9999999999997158</v>
      </c>
      <c r="Q49" s="20">
        <f t="shared" si="6"/>
        <v>0.96666666666666756</v>
      </c>
      <c r="R49" s="186"/>
      <c r="S49" s="27">
        <v>0.58194444444444426</v>
      </c>
      <c r="T49" s="27">
        <v>0.62361111111111089</v>
      </c>
      <c r="U49" s="4">
        <f t="shared" si="34"/>
        <v>6.9999999999999751</v>
      </c>
      <c r="V49" s="21">
        <f t="shared" si="33"/>
        <v>59.999999999999943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-99.999999999997272</v>
      </c>
      <c r="AF49" s="20">
        <f t="shared" si="9"/>
        <v>0.96666666666666756</v>
      </c>
      <c r="AG49" s="186"/>
    </row>
    <row r="50" spans="1:33" ht="15.75" customHeight="1">
      <c r="A50" s="184" t="s">
        <v>1134</v>
      </c>
      <c r="B50" s="35" t="s">
        <v>1130</v>
      </c>
      <c r="C50" s="164"/>
      <c r="D50" s="165"/>
      <c r="E50" s="37"/>
      <c r="F50" s="4"/>
      <c r="G50" s="4"/>
      <c r="H50" s="4"/>
      <c r="I50" s="29">
        <v>9.625</v>
      </c>
      <c r="J50" s="17">
        <v>3000</v>
      </c>
      <c r="K50" s="16">
        <f t="shared" si="1"/>
        <v>311.68831168831167</v>
      </c>
      <c r="L50" s="29">
        <v>9.625</v>
      </c>
      <c r="M50" s="17">
        <f>AVERAGE(M42:M49)</f>
        <v>2880.8372555029164</v>
      </c>
      <c r="N50" s="16">
        <f t="shared" si="3"/>
        <v>299.30776680549781</v>
      </c>
      <c r="O50" s="18">
        <f t="shared" si="4"/>
        <v>0</v>
      </c>
      <c r="P50" s="19">
        <f t="shared" si="5"/>
        <v>-12.380544882813865</v>
      </c>
      <c r="Q50" s="20">
        <f t="shared" si="6"/>
        <v>0.96027908516763882</v>
      </c>
      <c r="R50" s="187"/>
      <c r="S50" s="27"/>
      <c r="T50" s="27"/>
      <c r="U50" s="4"/>
      <c r="V50" s="21"/>
      <c r="W50" s="22"/>
      <c r="X50" s="22"/>
      <c r="Y50" s="30">
        <f>SUM(Y42:Y49)</f>
        <v>0</v>
      </c>
      <c r="Z50" s="30">
        <f>SUM(Z42:Z49)</f>
        <v>0</v>
      </c>
      <c r="AA50" s="180"/>
      <c r="AB50" s="181"/>
      <c r="AC50" s="30">
        <v>8</v>
      </c>
      <c r="AD50" s="30">
        <f>SUM(AD42:AD49)</f>
        <v>0</v>
      </c>
      <c r="AE50" s="18">
        <f t="shared" si="8"/>
        <v>-119.16274449708362</v>
      </c>
      <c r="AF50" s="20">
        <f t="shared" si="9"/>
        <v>0.96027908516763882</v>
      </c>
      <c r="AG50" s="187"/>
    </row>
    <row r="51" spans="1:33" ht="15.75" customHeight="1">
      <c r="A51" s="178" t="s">
        <v>1136</v>
      </c>
      <c r="B51" s="35" t="s">
        <v>84</v>
      </c>
      <c r="C51" s="163" t="s">
        <v>114</v>
      </c>
      <c r="D51" s="163"/>
      <c r="E51" s="35">
        <v>46</v>
      </c>
      <c r="F51" s="38">
        <v>1478</v>
      </c>
      <c r="G51" s="4">
        <f t="shared" ref="G51:G58" si="35">E51*F51</f>
        <v>67988</v>
      </c>
      <c r="H51" s="21" t="s">
        <v>133</v>
      </c>
      <c r="I51" s="15">
        <v>17</v>
      </c>
      <c r="J51" s="17">
        <v>2000</v>
      </c>
      <c r="K51" s="16">
        <f t="shared" si="1"/>
        <v>117.64705882352941</v>
      </c>
      <c r="L51" s="15">
        <v>17</v>
      </c>
      <c r="M51" s="17">
        <f t="shared" ref="M51:M58" si="36">F51/V51*60</f>
        <v>1927.8260869565217</v>
      </c>
      <c r="N51" s="17">
        <f t="shared" si="3"/>
        <v>113.40153452685422</v>
      </c>
      <c r="O51" s="18">
        <f t="shared" si="4"/>
        <v>0</v>
      </c>
      <c r="P51" s="19">
        <f t="shared" si="5"/>
        <v>-4.2455242966751854</v>
      </c>
      <c r="Q51" s="20">
        <f t="shared" si="6"/>
        <v>0.9639130434782609</v>
      </c>
      <c r="R51" s="170">
        <f>Q59</f>
        <v>0.93803146183055175</v>
      </c>
      <c r="S51" s="27">
        <v>0.20833333333333334</v>
      </c>
      <c r="T51" s="27">
        <v>0.24027777777777778</v>
      </c>
      <c r="U51" s="27"/>
      <c r="V51" s="21">
        <f t="shared" ref="V51:V58" si="37">(T51-S51)*24*60</f>
        <v>46</v>
      </c>
      <c r="W51" s="27"/>
      <c r="X51" s="27"/>
      <c r="Y51" s="27"/>
      <c r="Z51" s="27"/>
      <c r="AA51" s="162"/>
      <c r="AB51" s="162"/>
      <c r="AC51" s="24">
        <v>8</v>
      </c>
      <c r="AD51" s="24"/>
      <c r="AE51" s="18">
        <f t="shared" si="8"/>
        <v>-72.173913043478251</v>
      </c>
      <c r="AF51" s="20">
        <f t="shared" si="9"/>
        <v>0.9639130434782609</v>
      </c>
      <c r="AG51" s="170">
        <f>AF59</f>
        <v>0.93803146183055175</v>
      </c>
    </row>
    <row r="52" spans="1:33" ht="15.75" customHeight="1">
      <c r="A52" s="178" t="s">
        <v>1136</v>
      </c>
      <c r="B52" s="35" t="s">
        <v>78</v>
      </c>
      <c r="C52" s="163" t="s">
        <v>115</v>
      </c>
      <c r="D52" s="163"/>
      <c r="E52" s="35">
        <v>56.43</v>
      </c>
      <c r="F52" s="38">
        <v>1655</v>
      </c>
      <c r="G52" s="4">
        <f t="shared" si="35"/>
        <v>93391.65</v>
      </c>
      <c r="H52" s="21" t="s">
        <v>133</v>
      </c>
      <c r="I52" s="15">
        <v>22</v>
      </c>
      <c r="J52" s="17">
        <v>2000</v>
      </c>
      <c r="K52" s="16">
        <f t="shared" si="1"/>
        <v>90.909090909090907</v>
      </c>
      <c r="L52" s="15">
        <v>22</v>
      </c>
      <c r="M52" s="17">
        <f t="shared" si="36"/>
        <v>1805.4545454545466</v>
      </c>
      <c r="N52" s="17">
        <f t="shared" si="3"/>
        <v>82.066115702479394</v>
      </c>
      <c r="O52" s="18">
        <f t="shared" si="4"/>
        <v>0</v>
      </c>
      <c r="P52" s="19">
        <f t="shared" si="5"/>
        <v>-8.8429752066115128</v>
      </c>
      <c r="Q52" s="20">
        <f t="shared" si="6"/>
        <v>0.90272727272727338</v>
      </c>
      <c r="R52" s="170"/>
      <c r="S52" s="27">
        <v>0.24444444444444446</v>
      </c>
      <c r="T52" s="27">
        <v>0.28263888888888888</v>
      </c>
      <c r="U52" s="4">
        <f t="shared" ref="U52:U58" si="38">IF(S52=TIME(17,0,0),"",(S52-T51)*24*60)</f>
        <v>6.0000000000000187</v>
      </c>
      <c r="V52" s="21">
        <f t="shared" si="37"/>
        <v>54.999999999999964</v>
      </c>
      <c r="W52" s="22"/>
      <c r="X52" s="22"/>
      <c r="Y52" s="22"/>
      <c r="Z52" s="22"/>
      <c r="AA52" s="162"/>
      <c r="AB52" s="162"/>
      <c r="AC52" s="24"/>
      <c r="AD52" s="24"/>
      <c r="AE52" s="18">
        <f t="shared" si="8"/>
        <v>-194.54545454545337</v>
      </c>
      <c r="AF52" s="20">
        <f t="shared" si="9"/>
        <v>0.90272727272727327</v>
      </c>
      <c r="AG52" s="170"/>
    </row>
    <row r="53" spans="1:33" ht="15.75" customHeight="1">
      <c r="A53" s="178" t="s">
        <v>1136</v>
      </c>
      <c r="B53" s="35" t="s">
        <v>78</v>
      </c>
      <c r="C53" s="174" t="s">
        <v>116</v>
      </c>
      <c r="D53" s="175"/>
      <c r="E53" s="35">
        <v>51.75</v>
      </c>
      <c r="F53" s="38">
        <v>1244</v>
      </c>
      <c r="G53" s="4">
        <f t="shared" si="35"/>
        <v>64377</v>
      </c>
      <c r="H53" s="21" t="s">
        <v>133</v>
      </c>
      <c r="I53" s="15">
        <v>25</v>
      </c>
      <c r="J53" s="17">
        <v>2000</v>
      </c>
      <c r="K53" s="16">
        <f t="shared" si="1"/>
        <v>80</v>
      </c>
      <c r="L53" s="15">
        <v>25</v>
      </c>
      <c r="M53" s="17">
        <f t="shared" si="36"/>
        <v>1820.4878048780481</v>
      </c>
      <c r="N53" s="17">
        <f t="shared" si="3"/>
        <v>72.819512195121931</v>
      </c>
      <c r="O53" s="18">
        <f t="shared" si="4"/>
        <v>0</v>
      </c>
      <c r="P53" s="19">
        <f t="shared" si="5"/>
        <v>-7.1804878048780694</v>
      </c>
      <c r="Q53" s="20">
        <f t="shared" si="6"/>
        <v>0.91024390243902409</v>
      </c>
      <c r="R53" s="170"/>
      <c r="S53" s="27">
        <v>0.28680555555555554</v>
      </c>
      <c r="T53" s="27">
        <v>0.31527777777777777</v>
      </c>
      <c r="U53" s="4">
        <f t="shared" si="38"/>
        <v>5.9999999999999787</v>
      </c>
      <c r="V53" s="21">
        <f t="shared" si="37"/>
        <v>41.000000000000014</v>
      </c>
      <c r="W53" s="22"/>
      <c r="X53" s="22"/>
      <c r="Y53" s="25"/>
      <c r="Z53" s="25"/>
      <c r="AA53" s="162"/>
      <c r="AB53" s="162"/>
      <c r="AC53" s="24"/>
      <c r="AD53" s="24"/>
      <c r="AE53" s="18">
        <f t="shared" si="8"/>
        <v>-179.51219512195189</v>
      </c>
      <c r="AF53" s="20">
        <f t="shared" si="9"/>
        <v>0.91024390243902409</v>
      </c>
      <c r="AG53" s="170"/>
    </row>
    <row r="54" spans="1:33" ht="15.75" customHeight="1">
      <c r="A54" s="178" t="s">
        <v>1137</v>
      </c>
      <c r="B54" s="35" t="s">
        <v>78</v>
      </c>
      <c r="C54" s="39" t="s">
        <v>117</v>
      </c>
      <c r="D54" s="40"/>
      <c r="E54" s="35">
        <v>54.09</v>
      </c>
      <c r="F54" s="38">
        <v>1383</v>
      </c>
      <c r="G54" s="4">
        <f t="shared" si="35"/>
        <v>74806.47</v>
      </c>
      <c r="H54" s="21" t="s">
        <v>133</v>
      </c>
      <c r="I54" s="15">
        <v>19</v>
      </c>
      <c r="J54" s="17">
        <v>2000</v>
      </c>
      <c r="K54" s="16">
        <f t="shared" si="1"/>
        <v>105.26315789473684</v>
      </c>
      <c r="L54" s="15">
        <v>19</v>
      </c>
      <c r="M54" s="17">
        <f t="shared" si="36"/>
        <v>1803.9130434782608</v>
      </c>
      <c r="N54" s="17">
        <f t="shared" si="3"/>
        <v>94.942791762013726</v>
      </c>
      <c r="O54" s="18">
        <f t="shared" si="4"/>
        <v>0</v>
      </c>
      <c r="P54" s="19">
        <f t="shared" si="5"/>
        <v>-10.320366132723109</v>
      </c>
      <c r="Q54" s="20">
        <f t="shared" si="6"/>
        <v>0.90195652173913043</v>
      </c>
      <c r="R54" s="170"/>
      <c r="S54" s="27">
        <v>0.31944444444444442</v>
      </c>
      <c r="T54" s="27">
        <v>0.35138888888888886</v>
      </c>
      <c r="U54" s="4">
        <f t="shared" si="38"/>
        <v>5.9999999999999787</v>
      </c>
      <c r="V54" s="21">
        <f t="shared" si="37"/>
        <v>46</v>
      </c>
      <c r="W54" s="22"/>
      <c r="X54" s="22"/>
      <c r="Y54" s="25"/>
      <c r="Z54" s="25"/>
      <c r="AA54" s="162"/>
      <c r="AB54" s="162"/>
      <c r="AC54" s="24"/>
      <c r="AD54" s="24"/>
      <c r="AE54" s="18">
        <f t="shared" si="8"/>
        <v>-196.08695652173924</v>
      </c>
      <c r="AF54" s="20">
        <f t="shared" si="9"/>
        <v>0.90195652173913043</v>
      </c>
      <c r="AG54" s="170"/>
    </row>
    <row r="55" spans="1:33" ht="15.75" customHeight="1">
      <c r="A55" s="178" t="s">
        <v>1136</v>
      </c>
      <c r="B55" s="35" t="s">
        <v>78</v>
      </c>
      <c r="C55" s="39" t="s">
        <v>118</v>
      </c>
      <c r="D55" s="40"/>
      <c r="E55" s="35">
        <v>57.73</v>
      </c>
      <c r="F55" s="38">
        <v>998</v>
      </c>
      <c r="G55" s="4">
        <f t="shared" si="35"/>
        <v>57614.539999999994</v>
      </c>
      <c r="H55" s="21" t="s">
        <v>133</v>
      </c>
      <c r="I55" s="15">
        <v>16</v>
      </c>
      <c r="J55" s="17">
        <v>1500</v>
      </c>
      <c r="K55" s="16">
        <f t="shared" si="1"/>
        <v>93.75</v>
      </c>
      <c r="L55" s="15">
        <v>16</v>
      </c>
      <c r="M55" s="17">
        <f t="shared" si="36"/>
        <v>1425.7142857142851</v>
      </c>
      <c r="N55" s="17">
        <f t="shared" si="3"/>
        <v>89.107142857142819</v>
      </c>
      <c r="O55" s="18">
        <f t="shared" si="4"/>
        <v>0</v>
      </c>
      <c r="P55" s="19">
        <f t="shared" si="5"/>
        <v>-4.6428571428571814</v>
      </c>
      <c r="Q55" s="20">
        <f t="shared" si="6"/>
        <v>0.95047619047619003</v>
      </c>
      <c r="R55" s="170"/>
      <c r="S55" s="27">
        <v>0.70833333333333337</v>
      </c>
      <c r="T55" s="27">
        <v>0.73750000000000004</v>
      </c>
      <c r="U55" s="4" t="str">
        <f t="shared" si="38"/>
        <v/>
      </c>
      <c r="V55" s="21">
        <f t="shared" si="37"/>
        <v>42.000000000000014</v>
      </c>
      <c r="W55" s="22"/>
      <c r="X55" s="22"/>
      <c r="Y55" s="25"/>
      <c r="Z55" s="25"/>
      <c r="AA55" s="162"/>
      <c r="AB55" s="162"/>
      <c r="AC55" s="24"/>
      <c r="AD55" s="24"/>
      <c r="AE55" s="18">
        <f t="shared" si="8"/>
        <v>-74.285714285714903</v>
      </c>
      <c r="AF55" s="20">
        <f t="shared" si="9"/>
        <v>0.95047619047619003</v>
      </c>
      <c r="AG55" s="170"/>
    </row>
    <row r="56" spans="1:33" ht="15.75" customHeight="1">
      <c r="A56" s="178" t="s">
        <v>1136</v>
      </c>
      <c r="B56" s="35" t="s">
        <v>78</v>
      </c>
      <c r="C56" s="174" t="s">
        <v>119</v>
      </c>
      <c r="D56" s="175"/>
      <c r="E56" s="35">
        <v>54.29</v>
      </c>
      <c r="F56" s="38">
        <v>1032</v>
      </c>
      <c r="G56" s="4">
        <f t="shared" si="35"/>
        <v>56027.28</v>
      </c>
      <c r="H56" s="21" t="s">
        <v>133</v>
      </c>
      <c r="I56" s="15">
        <v>20</v>
      </c>
      <c r="J56" s="17">
        <v>2000</v>
      </c>
      <c r="K56" s="16">
        <f t="shared" si="1"/>
        <v>100</v>
      </c>
      <c r="L56" s="15">
        <v>20</v>
      </c>
      <c r="M56" s="17">
        <f t="shared" si="36"/>
        <v>1934.9999999999975</v>
      </c>
      <c r="N56" s="17">
        <f t="shared" si="3"/>
        <v>96.749999999999872</v>
      </c>
      <c r="O56" s="18">
        <f t="shared" si="4"/>
        <v>0</v>
      </c>
      <c r="P56" s="19">
        <f t="shared" si="5"/>
        <v>-3.2500000000001279</v>
      </c>
      <c r="Q56" s="20">
        <f t="shared" si="6"/>
        <v>0.96749999999999869</v>
      </c>
      <c r="R56" s="170"/>
      <c r="S56" s="27">
        <v>0.74305555555555558</v>
      </c>
      <c r="T56" s="27">
        <v>0.76527777777777783</v>
      </c>
      <c r="U56" s="4">
        <f t="shared" si="38"/>
        <v>7.9999999999999716</v>
      </c>
      <c r="V56" s="21">
        <f t="shared" si="37"/>
        <v>32.000000000000043</v>
      </c>
      <c r="W56" s="22"/>
      <c r="X56" s="22"/>
      <c r="Y56" s="25"/>
      <c r="Z56" s="25"/>
      <c r="AA56" s="176"/>
      <c r="AB56" s="177"/>
      <c r="AC56" s="24"/>
      <c r="AD56" s="24"/>
      <c r="AE56" s="18">
        <f t="shared" si="8"/>
        <v>-65.000000000002501</v>
      </c>
      <c r="AF56" s="20">
        <f t="shared" si="9"/>
        <v>0.96749999999999869</v>
      </c>
      <c r="AG56" s="170"/>
    </row>
    <row r="57" spans="1:33" ht="15.75" customHeight="1">
      <c r="A57" s="178" t="s">
        <v>1136</v>
      </c>
      <c r="B57" s="35" t="s">
        <v>78</v>
      </c>
      <c r="C57" s="174" t="s">
        <v>120</v>
      </c>
      <c r="D57" s="175"/>
      <c r="E57" s="35">
        <v>55.56</v>
      </c>
      <c r="F57" s="38">
        <v>1591</v>
      </c>
      <c r="G57" s="4">
        <f t="shared" si="35"/>
        <v>88395.96</v>
      </c>
      <c r="H57" s="21" t="s">
        <v>133</v>
      </c>
      <c r="I57" s="15">
        <v>17</v>
      </c>
      <c r="J57" s="17">
        <v>2000</v>
      </c>
      <c r="K57" s="16">
        <f t="shared" si="1"/>
        <v>117.64705882352941</v>
      </c>
      <c r="L57" s="15">
        <v>17</v>
      </c>
      <c r="M57" s="17">
        <f t="shared" si="36"/>
        <v>1909.2000000000005</v>
      </c>
      <c r="N57" s="17">
        <f t="shared" si="3"/>
        <v>112.30588235294121</v>
      </c>
      <c r="O57" s="18">
        <f t="shared" si="4"/>
        <v>0</v>
      </c>
      <c r="P57" s="19">
        <f t="shared" si="5"/>
        <v>-5.341176470588195</v>
      </c>
      <c r="Q57" s="20">
        <f t="shared" si="6"/>
        <v>0.95460000000000034</v>
      </c>
      <c r="R57" s="170"/>
      <c r="S57" s="27">
        <v>0.76875000000000004</v>
      </c>
      <c r="T57" s="27">
        <v>0.80347222222222225</v>
      </c>
      <c r="U57" s="4">
        <f t="shared" si="38"/>
        <v>4.9999999999999822</v>
      </c>
      <c r="V57" s="21">
        <f t="shared" si="37"/>
        <v>49.999999999999986</v>
      </c>
      <c r="W57" s="22"/>
      <c r="X57" s="22"/>
      <c r="Y57" s="25"/>
      <c r="Z57" s="25"/>
      <c r="AA57" s="176"/>
      <c r="AB57" s="177"/>
      <c r="AC57" s="24"/>
      <c r="AD57" s="24"/>
      <c r="AE57" s="18">
        <f t="shared" si="8"/>
        <v>-90.7999999999995</v>
      </c>
      <c r="AF57" s="20">
        <f t="shared" si="9"/>
        <v>0.95460000000000023</v>
      </c>
      <c r="AG57" s="170"/>
    </row>
    <row r="58" spans="1:33" ht="15.75" customHeight="1">
      <c r="A58" s="178" t="s">
        <v>1136</v>
      </c>
      <c r="B58" s="35" t="s">
        <v>78</v>
      </c>
      <c r="C58" s="174" t="s">
        <v>121</v>
      </c>
      <c r="D58" s="175"/>
      <c r="E58" s="35">
        <v>55.32</v>
      </c>
      <c r="F58" s="38">
        <v>1179</v>
      </c>
      <c r="G58" s="4">
        <f t="shared" si="35"/>
        <v>65222.28</v>
      </c>
      <c r="H58" s="21" t="s">
        <v>133</v>
      </c>
      <c r="I58" s="15">
        <v>15</v>
      </c>
      <c r="J58" s="17">
        <v>2000</v>
      </c>
      <c r="K58" s="16">
        <f t="shared" si="1"/>
        <v>133.33333333333334</v>
      </c>
      <c r="L58" s="15">
        <v>15</v>
      </c>
      <c r="M58" s="17">
        <f t="shared" si="36"/>
        <v>1911.8918918918905</v>
      </c>
      <c r="N58" s="17">
        <f t="shared" si="3"/>
        <v>127.45945945945937</v>
      </c>
      <c r="O58" s="18">
        <f t="shared" si="4"/>
        <v>0</v>
      </c>
      <c r="P58" s="19">
        <f t="shared" si="5"/>
        <v>-5.8738738738739755</v>
      </c>
      <c r="Q58" s="20">
        <f t="shared" si="6"/>
        <v>0.95594594594594517</v>
      </c>
      <c r="R58" s="170"/>
      <c r="S58" s="27">
        <v>0.80902777777777779</v>
      </c>
      <c r="T58" s="27">
        <v>0.83472222222222225</v>
      </c>
      <c r="U58" s="4">
        <f t="shared" si="38"/>
        <v>7.9999999999999716</v>
      </c>
      <c r="V58" s="21">
        <f t="shared" si="37"/>
        <v>37.000000000000028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8"/>
        <v>-88.108108108109491</v>
      </c>
      <c r="AF58" s="20">
        <f t="shared" si="9"/>
        <v>0.95594594594594529</v>
      </c>
      <c r="AG58" s="170"/>
    </row>
    <row r="59" spans="1:33">
      <c r="A59" s="179" t="s">
        <v>1136</v>
      </c>
      <c r="B59" s="35" t="s">
        <v>1130</v>
      </c>
      <c r="C59" s="171"/>
      <c r="D59" s="171"/>
      <c r="E59" s="36"/>
      <c r="F59" s="16"/>
      <c r="G59" s="16"/>
      <c r="H59" s="4"/>
      <c r="I59" s="29">
        <v>18.875</v>
      </c>
      <c r="J59" s="17">
        <v>1937.5</v>
      </c>
      <c r="K59" s="16">
        <f t="shared" si="1"/>
        <v>102.64900662251655</v>
      </c>
      <c r="L59" s="29">
        <v>18.875</v>
      </c>
      <c r="M59" s="17">
        <f>AVERAGE(M51:M58)</f>
        <v>1817.4359572966939</v>
      </c>
      <c r="N59" s="16">
        <f t="shared" si="3"/>
        <v>96.287997737573193</v>
      </c>
      <c r="O59" s="18">
        <f t="shared" si="4"/>
        <v>0</v>
      </c>
      <c r="P59" s="19">
        <f t="shared" si="5"/>
        <v>-6.3610088849433595</v>
      </c>
      <c r="Q59" s="20">
        <f t="shared" si="6"/>
        <v>0.93803146183055175</v>
      </c>
      <c r="R59" s="170"/>
      <c r="S59" s="27"/>
      <c r="T59" s="27"/>
      <c r="U59" s="4"/>
      <c r="V59" s="21"/>
      <c r="W59" s="16"/>
      <c r="X59" s="16"/>
      <c r="Y59" s="30">
        <f>SUM(Y51:Y58)</f>
        <v>0</v>
      </c>
      <c r="Z59" s="30">
        <f>SUM(Z51:Z58)</f>
        <v>0</v>
      </c>
      <c r="AA59" s="166"/>
      <c r="AB59" s="166"/>
      <c r="AC59" s="30">
        <v>8</v>
      </c>
      <c r="AD59" s="30">
        <f>SUM(AD51:AD58)</f>
        <v>0</v>
      </c>
      <c r="AE59" s="18">
        <f>M59-J59</f>
        <v>-120.06404270330609</v>
      </c>
      <c r="AF59" s="20">
        <f t="shared" si="9"/>
        <v>0.93803146183055175</v>
      </c>
      <c r="AG59" s="170"/>
    </row>
    <row r="60" spans="1:33" ht="15.75" customHeight="1">
      <c r="A60" s="172" t="s">
        <v>1138</v>
      </c>
      <c r="B60" s="4" t="s">
        <v>84</v>
      </c>
      <c r="C60" s="163" t="s">
        <v>122</v>
      </c>
      <c r="D60" s="163"/>
      <c r="E60" s="35">
        <v>26.97</v>
      </c>
      <c r="F60" s="38">
        <v>2217</v>
      </c>
      <c r="G60" s="4">
        <f t="shared" ref="G60:G63" si="39">E60*F60</f>
        <v>59792.49</v>
      </c>
      <c r="H60" s="21" t="s">
        <v>133</v>
      </c>
      <c r="I60" s="15">
        <v>8</v>
      </c>
      <c r="J60" s="17">
        <v>1500</v>
      </c>
      <c r="K60" s="16">
        <f t="shared" si="1"/>
        <v>187.5</v>
      </c>
      <c r="L60" s="15">
        <v>8</v>
      </c>
      <c r="M60" s="17">
        <f t="shared" ref="M60:M63" si="40">F60/V60*60</f>
        <v>1430.322580645161</v>
      </c>
      <c r="N60" s="16">
        <f t="shared" si="3"/>
        <v>178.79032258064512</v>
      </c>
      <c r="O60" s="18">
        <f t="shared" si="4"/>
        <v>0</v>
      </c>
      <c r="P60" s="19">
        <f t="shared" si="5"/>
        <v>-8.7096774193548754</v>
      </c>
      <c r="Q60" s="20">
        <f t="shared" si="6"/>
        <v>0.95354838709677403</v>
      </c>
      <c r="R60" s="170">
        <f>Q64</f>
        <v>0.95607773639626537</v>
      </c>
      <c r="S60" s="27">
        <v>0.20833333333333334</v>
      </c>
      <c r="T60" s="27">
        <v>0.2729166666666667</v>
      </c>
      <c r="U60" s="4"/>
      <c r="V60" s="21">
        <f t="shared" ref="V60:V63" si="41">(T60-S60)*24*60</f>
        <v>93.000000000000028</v>
      </c>
      <c r="W60" s="27"/>
      <c r="X60" s="27"/>
      <c r="Y60" s="27"/>
      <c r="Z60" s="27"/>
      <c r="AA60" s="162"/>
      <c r="AB60" s="162"/>
      <c r="AC60" s="24">
        <v>4</v>
      </c>
      <c r="AD60" s="24"/>
      <c r="AE60" s="18">
        <f t="shared" ref="AE60:AE70" si="42">M60-J60</f>
        <v>-69.677419354839003</v>
      </c>
      <c r="AF60" s="20">
        <f t="shared" si="9"/>
        <v>0.95354838709677403</v>
      </c>
      <c r="AG60" s="170">
        <f>AF64</f>
        <v>0.95607773639626537</v>
      </c>
    </row>
    <row r="61" spans="1:33" ht="15.75" customHeight="1">
      <c r="A61" s="172" t="s">
        <v>1138</v>
      </c>
      <c r="B61" s="4" t="s">
        <v>108</v>
      </c>
      <c r="C61" s="163" t="s">
        <v>125</v>
      </c>
      <c r="D61" s="163"/>
      <c r="E61" s="35">
        <v>37.85</v>
      </c>
      <c r="F61" s="38">
        <v>1852</v>
      </c>
      <c r="G61" s="4">
        <f t="shared" si="39"/>
        <v>70098.2</v>
      </c>
      <c r="H61" s="21" t="s">
        <v>133</v>
      </c>
      <c r="I61" s="15">
        <v>12</v>
      </c>
      <c r="J61" s="17">
        <v>2000</v>
      </c>
      <c r="K61" s="16">
        <f t="shared" si="1"/>
        <v>166.66666666666666</v>
      </c>
      <c r="L61" s="15">
        <v>12</v>
      </c>
      <c r="M61" s="17">
        <f t="shared" si="40"/>
        <v>1915.8620689655161</v>
      </c>
      <c r="N61" s="16">
        <f t="shared" si="3"/>
        <v>159.655172413793</v>
      </c>
      <c r="O61" s="18">
        <f t="shared" si="4"/>
        <v>0</v>
      </c>
      <c r="P61" s="19">
        <f t="shared" si="5"/>
        <v>-7.0114942528736606</v>
      </c>
      <c r="Q61" s="20">
        <f t="shared" si="6"/>
        <v>0.95793103448275807</v>
      </c>
      <c r="R61" s="170"/>
      <c r="S61" s="27">
        <v>0.27708333333333335</v>
      </c>
      <c r="T61" s="27">
        <v>0.31736111111111115</v>
      </c>
      <c r="U61" s="4">
        <f t="shared" ref="U61:U63" si="43">(S61-T60)*24*60</f>
        <v>5.9999999999999787</v>
      </c>
      <c r="V61" s="21">
        <f t="shared" si="41"/>
        <v>58.000000000000036</v>
      </c>
      <c r="W61" s="4"/>
      <c r="X61" s="4"/>
      <c r="Y61" s="4"/>
      <c r="Z61" s="4"/>
      <c r="AA61" s="162"/>
      <c r="AB61" s="162"/>
      <c r="AC61" s="24"/>
      <c r="AD61" s="24"/>
      <c r="AE61" s="18">
        <f t="shared" si="42"/>
        <v>-84.137931034483927</v>
      </c>
      <c r="AF61" s="20">
        <f t="shared" si="9"/>
        <v>0.95793103448275807</v>
      </c>
      <c r="AG61" s="170"/>
    </row>
    <row r="62" spans="1:33" ht="15.75" customHeight="1">
      <c r="A62" s="172" t="s">
        <v>1138</v>
      </c>
      <c r="B62" s="4" t="s">
        <v>108</v>
      </c>
      <c r="C62" s="163" t="s">
        <v>126</v>
      </c>
      <c r="D62" s="163"/>
      <c r="E62" s="35">
        <v>34.36</v>
      </c>
      <c r="F62" s="38">
        <v>1863</v>
      </c>
      <c r="G62" s="4">
        <f t="shared" si="39"/>
        <v>64012.68</v>
      </c>
      <c r="H62" s="21" t="s">
        <v>133</v>
      </c>
      <c r="I62" s="15">
        <v>10</v>
      </c>
      <c r="J62" s="17">
        <v>3000</v>
      </c>
      <c r="K62" s="16">
        <f t="shared" si="1"/>
        <v>300</v>
      </c>
      <c r="L62" s="15">
        <v>10</v>
      </c>
      <c r="M62" s="17">
        <f t="shared" si="40"/>
        <v>2866.1538461538448</v>
      </c>
      <c r="N62" s="16">
        <f t="shared" si="3"/>
        <v>286.61538461538447</v>
      </c>
      <c r="O62" s="18">
        <f t="shared" si="4"/>
        <v>0</v>
      </c>
      <c r="P62" s="19">
        <f t="shared" si="5"/>
        <v>-13.384615384615529</v>
      </c>
      <c r="Q62" s="20">
        <f t="shared" si="6"/>
        <v>0.95538461538461494</v>
      </c>
      <c r="R62" s="170"/>
      <c r="S62" s="27">
        <v>0.3215277777777778</v>
      </c>
      <c r="T62" s="27">
        <v>0.34861111111111115</v>
      </c>
      <c r="U62" s="4">
        <f t="shared" si="43"/>
        <v>5.9999999999999787</v>
      </c>
      <c r="V62" s="21">
        <f t="shared" si="41"/>
        <v>39.000000000000021</v>
      </c>
      <c r="W62" s="4"/>
      <c r="X62" s="4"/>
      <c r="Y62" s="4"/>
      <c r="Z62" s="4"/>
      <c r="AA62" s="162"/>
      <c r="AB62" s="162"/>
      <c r="AC62" s="24"/>
      <c r="AD62" s="24"/>
      <c r="AE62" s="18">
        <f t="shared" si="42"/>
        <v>-133.84615384615518</v>
      </c>
      <c r="AF62" s="20">
        <f t="shared" si="9"/>
        <v>0.95538461538461494</v>
      </c>
      <c r="AG62" s="170"/>
    </row>
    <row r="63" spans="1:33" ht="15.75" customHeight="1">
      <c r="A63" s="172" t="s">
        <v>1138</v>
      </c>
      <c r="B63" s="4" t="s">
        <v>108</v>
      </c>
      <c r="C63" s="163" t="s">
        <v>127</v>
      </c>
      <c r="D63" s="163"/>
      <c r="E63" s="35">
        <v>35.119999999999997</v>
      </c>
      <c r="F63" s="38">
        <v>5980</v>
      </c>
      <c r="G63" s="4">
        <f t="shared" si="39"/>
        <v>210017.59999999998</v>
      </c>
      <c r="H63" s="21" t="s">
        <v>133</v>
      </c>
      <c r="I63" s="15">
        <v>10</v>
      </c>
      <c r="J63" s="17">
        <v>3000</v>
      </c>
      <c r="K63" s="16">
        <f t="shared" si="1"/>
        <v>300</v>
      </c>
      <c r="L63" s="15">
        <v>10</v>
      </c>
      <c r="M63" s="17">
        <f t="shared" si="40"/>
        <v>2870.3999999999992</v>
      </c>
      <c r="N63" s="16">
        <f t="shared" si="3"/>
        <v>287.03999999999991</v>
      </c>
      <c r="O63" s="18">
        <f t="shared" si="4"/>
        <v>0</v>
      </c>
      <c r="P63" s="19">
        <f t="shared" si="5"/>
        <v>-12.960000000000093</v>
      </c>
      <c r="Q63" s="20">
        <f t="shared" si="6"/>
        <v>0.95679999999999965</v>
      </c>
      <c r="R63" s="170"/>
      <c r="S63" s="27">
        <v>0.35208333333333336</v>
      </c>
      <c r="T63" s="27">
        <v>0.43888888888888894</v>
      </c>
      <c r="U63" s="4">
        <f t="shared" si="43"/>
        <v>4.9999999999999822</v>
      </c>
      <c r="V63" s="21">
        <f t="shared" si="41"/>
        <v>125.00000000000003</v>
      </c>
      <c r="W63" s="4"/>
      <c r="X63" s="4"/>
      <c r="Y63" s="4"/>
      <c r="Z63" s="4"/>
      <c r="AA63" s="162"/>
      <c r="AB63" s="162"/>
      <c r="AC63" s="24"/>
      <c r="AD63" s="24"/>
      <c r="AE63" s="18">
        <f t="shared" si="42"/>
        <v>-129.60000000000082</v>
      </c>
      <c r="AF63" s="20">
        <f t="shared" si="9"/>
        <v>0.95679999999999976</v>
      </c>
      <c r="AG63" s="170"/>
    </row>
    <row r="64" spans="1:33">
      <c r="A64" s="173" t="s">
        <v>1139</v>
      </c>
      <c r="B64" s="35" t="s">
        <v>1130</v>
      </c>
      <c r="C64" s="171"/>
      <c r="D64" s="171"/>
      <c r="E64" s="36"/>
      <c r="F64" s="16"/>
      <c r="G64" s="16"/>
      <c r="H64" s="4"/>
      <c r="I64" s="29">
        <v>10</v>
      </c>
      <c r="J64" s="17">
        <v>2375</v>
      </c>
      <c r="K64" s="16">
        <f t="shared" si="1"/>
        <v>237.5</v>
      </c>
      <c r="L64" s="29">
        <v>10</v>
      </c>
      <c r="M64" s="17">
        <f>AVERAGE(M60:M63)</f>
        <v>2270.6846239411302</v>
      </c>
      <c r="N64" s="16">
        <f t="shared" si="3"/>
        <v>227.06846239411303</v>
      </c>
      <c r="O64" s="18">
        <f t="shared" si="4"/>
        <v>0</v>
      </c>
      <c r="P64" s="19">
        <f t="shared" si="5"/>
        <v>-10.431537605886973</v>
      </c>
      <c r="Q64" s="20">
        <f t="shared" si="6"/>
        <v>0.95607773639626537</v>
      </c>
      <c r="R64" s="170"/>
      <c r="S64" s="27"/>
      <c r="T64" s="27"/>
      <c r="U64" s="16"/>
      <c r="V64" s="21"/>
      <c r="W64" s="16"/>
      <c r="X64" s="16"/>
      <c r="Y64" s="30">
        <f>SUM(Y60:Y63)</f>
        <v>0</v>
      </c>
      <c r="Z64" s="30">
        <f>SUM(Z60:Z63)</f>
        <v>0</v>
      </c>
      <c r="AA64" s="166"/>
      <c r="AB64" s="166"/>
      <c r="AC64" s="30">
        <v>4</v>
      </c>
      <c r="AD64" s="30">
        <f>SUM(AD60:AD63)</f>
        <v>0</v>
      </c>
      <c r="AE64" s="18">
        <f t="shared" si="42"/>
        <v>-104.31537605886979</v>
      </c>
      <c r="AF64" s="20">
        <f t="shared" si="9"/>
        <v>0.95607773639626537</v>
      </c>
      <c r="AG64" s="170"/>
    </row>
    <row r="65" spans="1:33" ht="15.75" customHeight="1">
      <c r="A65" s="167" t="s">
        <v>1140</v>
      </c>
      <c r="B65" s="4" t="s">
        <v>97</v>
      </c>
      <c r="C65" s="163" t="s">
        <v>128</v>
      </c>
      <c r="D65" s="163"/>
      <c r="E65" s="35">
        <v>20.2</v>
      </c>
      <c r="F65" s="4">
        <v>2134</v>
      </c>
      <c r="G65" s="4">
        <f t="shared" ref="G65:G69" si="44">E65*F65</f>
        <v>43106.799999999996</v>
      </c>
      <c r="H65" s="21" t="s">
        <v>133</v>
      </c>
      <c r="I65" s="15">
        <v>15</v>
      </c>
      <c r="J65" s="17">
        <v>2400</v>
      </c>
      <c r="K65" s="16">
        <f t="shared" si="1"/>
        <v>160</v>
      </c>
      <c r="L65" s="15">
        <v>15</v>
      </c>
      <c r="M65" s="17">
        <f t="shared" ref="M65:M69" si="45">F65/V65*60</f>
        <v>2286.4285714285711</v>
      </c>
      <c r="N65" s="16">
        <f t="shared" si="3"/>
        <v>152.42857142857142</v>
      </c>
      <c r="O65" s="18">
        <f t="shared" si="4"/>
        <v>0</v>
      </c>
      <c r="P65" s="19">
        <f t="shared" si="5"/>
        <v>-7.5714285714285836</v>
      </c>
      <c r="Q65" s="20">
        <f t="shared" si="6"/>
        <v>0.95267857142857137</v>
      </c>
      <c r="R65" s="170">
        <f>Q70</f>
        <v>0.95723186958415585</v>
      </c>
      <c r="S65" s="27">
        <v>0.125</v>
      </c>
      <c r="T65" s="27">
        <v>0.16388888888888889</v>
      </c>
      <c r="U65" s="27"/>
      <c r="V65" s="21">
        <f t="shared" ref="V65:V69" si="46">(T65-S65)*24*60</f>
        <v>56</v>
      </c>
      <c r="W65" s="22">
        <f>T65</f>
        <v>0.16388888888888889</v>
      </c>
      <c r="X65" s="22">
        <f>S66</f>
        <v>0.18194444444444444</v>
      </c>
      <c r="Y65" s="22"/>
      <c r="Z65" s="22"/>
      <c r="AA65" s="162"/>
      <c r="AB65" s="162"/>
      <c r="AC65" s="24">
        <v>5</v>
      </c>
      <c r="AD65" s="24"/>
      <c r="AE65" s="18">
        <f t="shared" si="42"/>
        <v>-113.5714285714289</v>
      </c>
      <c r="AF65" s="20">
        <f t="shared" si="9"/>
        <v>0.95267857142857126</v>
      </c>
      <c r="AG65" s="170">
        <f>AF70</f>
        <v>0.95723186958415585</v>
      </c>
    </row>
    <row r="66" spans="1:33" ht="15.75" customHeight="1">
      <c r="A66" s="168" t="s">
        <v>1140</v>
      </c>
      <c r="B66" s="4" t="s">
        <v>97</v>
      </c>
      <c r="C66" s="163" t="s">
        <v>129</v>
      </c>
      <c r="D66" s="163"/>
      <c r="E66" s="35">
        <v>24.45</v>
      </c>
      <c r="F66" s="4">
        <v>2549</v>
      </c>
      <c r="G66" s="4">
        <f t="shared" si="44"/>
        <v>62323.049999999996</v>
      </c>
      <c r="H66" s="21" t="s">
        <v>133</v>
      </c>
      <c r="I66" s="15">
        <v>19</v>
      </c>
      <c r="J66" s="17">
        <v>2400</v>
      </c>
      <c r="K66" s="16">
        <f t="shared" si="1"/>
        <v>126.31578947368421</v>
      </c>
      <c r="L66" s="15">
        <v>19</v>
      </c>
      <c r="M66" s="17">
        <f t="shared" si="45"/>
        <v>2317.2727272727275</v>
      </c>
      <c r="N66" s="16">
        <f t="shared" si="3"/>
        <v>121.96172248803829</v>
      </c>
      <c r="O66" s="18">
        <f t="shared" si="4"/>
        <v>0</v>
      </c>
      <c r="P66" s="19">
        <f t="shared" si="5"/>
        <v>-4.3540669856459147</v>
      </c>
      <c r="Q66" s="20">
        <f t="shared" si="6"/>
        <v>0.96553030303030318</v>
      </c>
      <c r="R66" s="170"/>
      <c r="S66" s="27">
        <v>0.18194444444444444</v>
      </c>
      <c r="T66" s="27">
        <v>0.22777777777777777</v>
      </c>
      <c r="U66" s="4">
        <f t="shared" ref="U66:U69" si="47">(S66-T65)*24*60</f>
        <v>25.999999999999986</v>
      </c>
      <c r="V66" s="21">
        <f t="shared" si="46"/>
        <v>66</v>
      </c>
      <c r="W66" s="22"/>
      <c r="X66" s="22"/>
      <c r="Y66" s="22"/>
      <c r="Z66" s="22"/>
      <c r="AA66" s="162"/>
      <c r="AB66" s="162"/>
      <c r="AC66" s="24"/>
      <c r="AD66" s="24"/>
      <c r="AE66" s="18">
        <f t="shared" si="42"/>
        <v>-82.727272727272521</v>
      </c>
      <c r="AF66" s="20">
        <f t="shared" si="9"/>
        <v>0.96553030303030307</v>
      </c>
      <c r="AG66" s="170"/>
    </row>
    <row r="67" spans="1:33" ht="15.75" customHeight="1">
      <c r="A67" s="168" t="s">
        <v>1140</v>
      </c>
      <c r="B67" s="4" t="s">
        <v>97</v>
      </c>
      <c r="C67" s="163" t="s">
        <v>130</v>
      </c>
      <c r="D67" s="163"/>
      <c r="E67" s="35">
        <v>24.43</v>
      </c>
      <c r="F67" s="4">
        <v>5970</v>
      </c>
      <c r="G67" s="4">
        <f t="shared" si="44"/>
        <v>145847.1</v>
      </c>
      <c r="H67" s="21" t="s">
        <v>133</v>
      </c>
      <c r="I67" s="15">
        <v>14</v>
      </c>
      <c r="J67" s="17">
        <v>2400</v>
      </c>
      <c r="K67" s="16">
        <f t="shared" si="1"/>
        <v>171.42857142857142</v>
      </c>
      <c r="L67" s="15">
        <v>14</v>
      </c>
      <c r="M67" s="17">
        <f t="shared" si="45"/>
        <v>2296.1538461538457</v>
      </c>
      <c r="N67" s="16">
        <f t="shared" si="3"/>
        <v>164.01098901098899</v>
      </c>
      <c r="O67" s="18">
        <f t="shared" si="4"/>
        <v>0</v>
      </c>
      <c r="P67" s="19">
        <f t="shared" si="5"/>
        <v>-7.4175824175824232</v>
      </c>
      <c r="Q67" s="20">
        <f t="shared" si="6"/>
        <v>0.95673076923076916</v>
      </c>
      <c r="R67" s="170"/>
      <c r="S67" s="27">
        <v>0.23124999999999998</v>
      </c>
      <c r="T67" s="27">
        <v>0.33958333333333335</v>
      </c>
      <c r="U67" s="4">
        <f t="shared" si="47"/>
        <v>4.9999999999999822</v>
      </c>
      <c r="V67" s="21">
        <f t="shared" si="46"/>
        <v>156.00000000000003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2"/>
        <v>-103.84615384615427</v>
      </c>
      <c r="AF67" s="20">
        <f t="shared" si="9"/>
        <v>0.95673076923076905</v>
      </c>
      <c r="AG67" s="170"/>
    </row>
    <row r="68" spans="1:33" ht="15.75" customHeight="1">
      <c r="A68" s="168" t="s">
        <v>1140</v>
      </c>
      <c r="B68" s="4" t="s">
        <v>97</v>
      </c>
      <c r="C68" s="163" t="s">
        <v>132</v>
      </c>
      <c r="D68" s="163"/>
      <c r="E68" s="35">
        <v>19.02</v>
      </c>
      <c r="F68" s="4">
        <v>8307</v>
      </c>
      <c r="G68" s="4">
        <f t="shared" si="44"/>
        <v>157999.13999999998</v>
      </c>
      <c r="H68" s="21" t="s">
        <v>133</v>
      </c>
      <c r="I68" s="15">
        <v>14</v>
      </c>
      <c r="J68" s="17">
        <v>2400</v>
      </c>
      <c r="K68" s="16">
        <f t="shared" si="1"/>
        <v>171.42857142857142</v>
      </c>
      <c r="L68" s="15">
        <v>14</v>
      </c>
      <c r="M68" s="17">
        <f t="shared" si="45"/>
        <v>2286.3302752293575</v>
      </c>
      <c r="N68" s="16">
        <f t="shared" si="3"/>
        <v>163.30930537352555</v>
      </c>
      <c r="O68" s="18">
        <f t="shared" si="4"/>
        <v>0</v>
      </c>
      <c r="P68" s="19">
        <f t="shared" si="5"/>
        <v>-8.1192660550458697</v>
      </c>
      <c r="Q68" s="20">
        <f t="shared" si="6"/>
        <v>0.95263761467889907</v>
      </c>
      <c r="R68" s="170"/>
      <c r="S68" s="27">
        <v>0.34305555555555556</v>
      </c>
      <c r="T68" s="27">
        <v>0.49444444444444446</v>
      </c>
      <c r="U68" s="4">
        <f t="shared" si="47"/>
        <v>4.9999999999999822</v>
      </c>
      <c r="V68" s="21">
        <f t="shared" si="46"/>
        <v>218.00000000000003</v>
      </c>
      <c r="W68" s="22">
        <f>T68</f>
        <v>0.49444444444444446</v>
      </c>
      <c r="X68" s="22">
        <f>S69</f>
        <v>0.53472222222222221</v>
      </c>
      <c r="Y68" s="22"/>
      <c r="Z68" s="22"/>
      <c r="AA68" s="162"/>
      <c r="AB68" s="162"/>
      <c r="AC68" s="24"/>
      <c r="AD68" s="24"/>
      <c r="AE68" s="18">
        <f t="shared" si="42"/>
        <v>-113.66972477064246</v>
      </c>
      <c r="AF68" s="20">
        <f t="shared" si="9"/>
        <v>0.95263761467889896</v>
      </c>
      <c r="AG68" s="170"/>
    </row>
    <row r="69" spans="1:33" ht="15.75" customHeight="1">
      <c r="A69" s="168" t="s">
        <v>75</v>
      </c>
      <c r="B69" s="4" t="s">
        <v>97</v>
      </c>
      <c r="C69" s="163" t="s">
        <v>98</v>
      </c>
      <c r="D69" s="163"/>
      <c r="E69" s="35">
        <v>31.29</v>
      </c>
      <c r="F69" s="4">
        <v>2569</v>
      </c>
      <c r="G69" s="4">
        <f t="shared" si="44"/>
        <v>80384.009999999995</v>
      </c>
      <c r="H69" s="21" t="s">
        <v>133</v>
      </c>
      <c r="I69" s="15">
        <v>18</v>
      </c>
      <c r="J69" s="17">
        <v>2400</v>
      </c>
      <c r="K69" s="16">
        <f t="shared" ref="K69:K70" si="48">J69/I69</f>
        <v>133.33333333333334</v>
      </c>
      <c r="L69" s="15">
        <v>18</v>
      </c>
      <c r="M69" s="17">
        <f t="shared" si="45"/>
        <v>2300.5970149253703</v>
      </c>
      <c r="N69" s="16">
        <f t="shared" ref="N69:N70" si="49">M69/L69</f>
        <v>127.81094527363169</v>
      </c>
      <c r="O69" s="18">
        <f t="shared" ref="O69:O70" si="50">L69-I69</f>
        <v>0</v>
      </c>
      <c r="P69" s="19">
        <f t="shared" ref="P69:P70" si="51">N69-K69</f>
        <v>-5.5223880597016546</v>
      </c>
      <c r="Q69" s="20">
        <f t="shared" ref="Q69:Q70" si="52">N69/K69</f>
        <v>0.95858208955223756</v>
      </c>
      <c r="R69" s="170"/>
      <c r="S69" s="27">
        <v>0.53472222222222221</v>
      </c>
      <c r="T69" s="27">
        <v>0.58125000000000004</v>
      </c>
      <c r="U69" s="4">
        <f t="shared" si="47"/>
        <v>57.999999999999957</v>
      </c>
      <c r="V69" s="21">
        <f t="shared" si="46"/>
        <v>67.000000000000085</v>
      </c>
      <c r="W69" s="22"/>
      <c r="X69" s="22"/>
      <c r="Y69" s="22"/>
      <c r="Z69" s="22"/>
      <c r="AA69" s="162"/>
      <c r="AB69" s="162"/>
      <c r="AC69" s="24"/>
      <c r="AD69" s="24"/>
      <c r="AE69" s="18">
        <f t="shared" si="42"/>
        <v>-99.402985074629669</v>
      </c>
      <c r="AF69" s="20">
        <f t="shared" ref="AF69:AF70" si="53">M69/J69</f>
        <v>0.95858208955223767</v>
      </c>
      <c r="AG69" s="170"/>
    </row>
    <row r="70" spans="1:33" ht="16.5" customHeight="1">
      <c r="A70" s="169" t="s">
        <v>1141</v>
      </c>
      <c r="B70" s="35" t="s">
        <v>1142</v>
      </c>
      <c r="C70" s="164"/>
      <c r="D70" s="165"/>
      <c r="E70" s="36"/>
      <c r="F70" s="16"/>
      <c r="G70" s="16"/>
      <c r="H70" s="4"/>
      <c r="I70" s="29">
        <v>16</v>
      </c>
      <c r="J70" s="17">
        <v>2400</v>
      </c>
      <c r="K70" s="16">
        <f t="shared" si="48"/>
        <v>150</v>
      </c>
      <c r="L70" s="29">
        <v>16</v>
      </c>
      <c r="M70" s="17">
        <f>AVERAGE(M65:M69)</f>
        <v>2297.3564870019741</v>
      </c>
      <c r="N70" s="16">
        <f t="shared" si="49"/>
        <v>143.58478043762338</v>
      </c>
      <c r="O70" s="18">
        <f t="shared" si="50"/>
        <v>0</v>
      </c>
      <c r="P70" s="19">
        <f t="shared" si="51"/>
        <v>-6.4152195623766204</v>
      </c>
      <c r="Q70" s="20">
        <f t="shared" si="52"/>
        <v>0.95723186958415585</v>
      </c>
      <c r="R70" s="170"/>
      <c r="S70" s="27"/>
      <c r="T70" s="27"/>
      <c r="U70" s="16"/>
      <c r="V70" s="21"/>
      <c r="W70" s="16"/>
      <c r="X70" s="16"/>
      <c r="Y70" s="30">
        <f>SUM(Y65:Y69)</f>
        <v>0</v>
      </c>
      <c r="Z70" s="30">
        <f>SUM(Z65:Z69)</f>
        <v>0</v>
      </c>
      <c r="AA70" s="166"/>
      <c r="AB70" s="166"/>
      <c r="AC70" s="30">
        <v>5</v>
      </c>
      <c r="AD70" s="30">
        <f>SUM(AD65:AD69)</f>
        <v>0</v>
      </c>
      <c r="AE70" s="18">
        <f t="shared" si="42"/>
        <v>-102.64351299802593</v>
      </c>
      <c r="AF70" s="20">
        <f t="shared" si="53"/>
        <v>0.95723186958415585</v>
      </c>
      <c r="AG70" s="170"/>
    </row>
    <row r="71" spans="1:33">
      <c r="D71" s="41"/>
      <c r="E71" s="41"/>
    </row>
  </sheetData>
  <mergeCells count="193">
    <mergeCell ref="AG65:AG70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A65:A70"/>
    <mergeCell ref="C65:D65"/>
    <mergeCell ref="R65:R70"/>
    <mergeCell ref="AA65:AB65"/>
    <mergeCell ref="A60:A64"/>
    <mergeCell ref="C60:D60"/>
    <mergeCell ref="R60:R64"/>
    <mergeCell ref="AA60:AB60"/>
    <mergeCell ref="R51:R59"/>
    <mergeCell ref="AA51:AB51"/>
    <mergeCell ref="AA57:AB57"/>
    <mergeCell ref="C58:D58"/>
    <mergeCell ref="AA58:AB58"/>
    <mergeCell ref="C59:D59"/>
    <mergeCell ref="AA59:AB59"/>
    <mergeCell ref="AG51:AG59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G60:AG64"/>
    <mergeCell ref="A42:A50"/>
    <mergeCell ref="C42:D42"/>
    <mergeCell ref="R42:R50"/>
    <mergeCell ref="AA42:AB42"/>
    <mergeCell ref="AA47:AB47"/>
    <mergeCell ref="C48:D48"/>
    <mergeCell ref="AA48:AB48"/>
    <mergeCell ref="AG42:AG50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C49:D49"/>
    <mergeCell ref="AA49:AB49"/>
    <mergeCell ref="C50:D50"/>
    <mergeCell ref="AA50:AB50"/>
    <mergeCell ref="A51:A59"/>
    <mergeCell ref="C51:D51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1:D41"/>
    <mergeCell ref="AA41:AB41"/>
    <mergeCell ref="A25:A33"/>
    <mergeCell ref="C25:D25"/>
    <mergeCell ref="R25:R33"/>
    <mergeCell ref="AA25:AB25"/>
    <mergeCell ref="C32:D32"/>
    <mergeCell ref="AA32:AB32"/>
    <mergeCell ref="C33:D33"/>
    <mergeCell ref="AA33:AB33"/>
    <mergeCell ref="A34:A41"/>
    <mergeCell ref="C34:D34"/>
    <mergeCell ref="R34:R41"/>
    <mergeCell ref="AA34:AB34"/>
    <mergeCell ref="AA39:AB39"/>
    <mergeCell ref="C40:D40"/>
    <mergeCell ref="AG25:AG33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14:A18"/>
    <mergeCell ref="C14:D14"/>
    <mergeCell ref="R14:R18"/>
    <mergeCell ref="AA14:AB14"/>
    <mergeCell ref="AG14:AG18"/>
    <mergeCell ref="C18:D18"/>
    <mergeCell ref="AA18:AB18"/>
    <mergeCell ref="A11:A13"/>
    <mergeCell ref="C11:D11"/>
    <mergeCell ref="R11:R13"/>
    <mergeCell ref="AA11:AB11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G5:AG10"/>
    <mergeCell ref="C6:D6"/>
    <mergeCell ref="AA6:AB6"/>
    <mergeCell ref="C10:D10"/>
    <mergeCell ref="AA10:AB10"/>
    <mergeCell ref="C7:D7"/>
    <mergeCell ref="AA7:AB7"/>
    <mergeCell ref="C8:D8"/>
    <mergeCell ref="AA8:AB8"/>
    <mergeCell ref="C9:D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H3:H4"/>
    <mergeCell ref="I3:I4"/>
    <mergeCell ref="AC3:AD3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0">
    <cfRule type="cellIs" dxfId="108" priority="9" operator="greaterThan">
      <formula>0</formula>
    </cfRule>
  </conditionalFormatting>
  <conditionalFormatting sqref="P5:P70">
    <cfRule type="cellIs" dxfId="107" priority="1" operator="lessThan">
      <formula>0</formula>
    </cfRule>
  </conditionalFormatting>
  <conditionalFormatting sqref="Q5:Q70 AF5:AF70">
    <cfRule type="cellIs" dxfId="106" priority="10" operator="greaterThan">
      <formula>1</formula>
    </cfRule>
    <cfRule type="cellIs" dxfId="105" priority="11" operator="lessThan">
      <formula>0.8</formula>
    </cfRule>
  </conditionalFormatting>
  <conditionalFormatting sqref="R5:R11 AG5:AG11">
    <cfRule type="cellIs" dxfId="104" priority="59" operator="lessThan">
      <formula>0.8</formula>
    </cfRule>
  </conditionalFormatting>
  <conditionalFormatting sqref="AE5:AE70">
    <cfRule type="cellIs" dxfId="103" priority="12" operator="lessThan">
      <formula>0</formula>
    </cfRule>
  </conditionalFormatting>
  <conditionalFormatting sqref="AG14:AG63 R14:R70">
    <cfRule type="cellIs" dxfId="102" priority="13" operator="lessThan">
      <formula>0.8</formula>
    </cfRule>
  </conditionalFormatting>
  <dataValidations count="1">
    <dataValidation type="list" allowBlank="1" showInputMessage="1" showErrorMessage="1" sqref="AB10 AA5:AB9 AA10:AA63 AB12:AB60 AA64:AB70" xr:uid="{00000000-0002-0000-2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Q32"/>
  <sheetViews>
    <sheetView topLeftCell="A4" zoomScale="85" zoomScaleNormal="85" workbookViewId="0">
      <selection activeCell="G13" sqref="G13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987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988</v>
      </c>
      <c r="C3" s="151" t="str">
        <f>TEXT('0311 4度C'!A2,"yyyy.mm.ddaaaa")</f>
        <v>2026.03.11星期三</v>
      </c>
      <c r="D3" s="152"/>
      <c r="E3" s="45" t="s">
        <v>989</v>
      </c>
      <c r="F3" s="153">
        <f>'0311 4度C'!D1</f>
        <v>155709</v>
      </c>
      <c r="G3" s="154"/>
      <c r="H3" s="45" t="s">
        <v>990</v>
      </c>
      <c r="I3" s="155">
        <f>'0311 4度C'!F1</f>
        <v>5138473.3199999994</v>
      </c>
      <c r="J3" s="156"/>
      <c r="K3" s="46"/>
      <c r="L3" s="47"/>
      <c r="M3" s="47"/>
      <c r="N3" s="47"/>
    </row>
    <row r="4" spans="2:17" ht="28.5" customHeight="1">
      <c r="B4" s="157" t="s">
        <v>991</v>
      </c>
      <c r="C4" s="143" t="s">
        <v>992</v>
      </c>
      <c r="D4" s="144"/>
      <c r="E4" s="160" t="s">
        <v>140</v>
      </c>
      <c r="F4" s="161"/>
      <c r="G4" s="160" t="s">
        <v>993</v>
      </c>
      <c r="H4" s="161"/>
      <c r="I4" s="160" t="s">
        <v>994</v>
      </c>
      <c r="J4" s="161"/>
      <c r="K4" s="141" t="s">
        <v>995</v>
      </c>
      <c r="L4" s="142"/>
      <c r="M4" s="142" t="s">
        <v>996</v>
      </c>
      <c r="N4" s="142"/>
    </row>
    <row r="5" spans="2:17" ht="28.5" customHeight="1">
      <c r="B5" s="158"/>
      <c r="C5" s="143" t="s">
        <v>145</v>
      </c>
      <c r="D5" s="144"/>
      <c r="E5" s="143" t="s">
        <v>997</v>
      </c>
      <c r="F5" s="144"/>
      <c r="G5" s="145" t="s">
        <v>998</v>
      </c>
      <c r="H5" s="146"/>
      <c r="I5" s="147" t="s">
        <v>999</v>
      </c>
      <c r="J5" s="148"/>
      <c r="K5" s="48" t="s">
        <v>1000</v>
      </c>
      <c r="L5" s="49" t="s">
        <v>1001</v>
      </c>
      <c r="M5" s="48" t="s">
        <v>1002</v>
      </c>
      <c r="N5" s="49" t="s">
        <v>1003</v>
      </c>
    </row>
    <row r="6" spans="2:17" ht="28.5" customHeight="1">
      <c r="B6" s="158"/>
      <c r="C6" s="143" t="s">
        <v>153</v>
      </c>
      <c r="D6" s="144"/>
      <c r="E6" s="135">
        <f>AVERAGE(D13:M13)</f>
        <v>150.86948556405989</v>
      </c>
      <c r="F6" s="136">
        <f>AVERAGE(D31:O31,D13:J13)</f>
        <v>154.5986137671546</v>
      </c>
      <c r="G6" s="137">
        <f>AVERAGE(D13:J13)</f>
        <v>154.5986137671546</v>
      </c>
      <c r="H6" s="138"/>
      <c r="I6" s="137">
        <f>AVERAGE(K13:M13)</f>
        <v>142.16818642350555</v>
      </c>
      <c r="J6" s="138"/>
      <c r="K6" s="139">
        <f>'0311 4度C'!Y2</f>
        <v>0</v>
      </c>
      <c r="L6" s="124">
        <f>'0311 4度C'!Z2</f>
        <v>0</v>
      </c>
      <c r="M6" s="140">
        <f>'0311 4度C'!AC2</f>
        <v>59</v>
      </c>
      <c r="N6" s="124">
        <f>'0311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144.29686395405588</v>
      </c>
      <c r="F7" s="128">
        <f>AVERAGE(D32:O32,D14:J14)</f>
        <v>147.85127749064694</v>
      </c>
      <c r="G7" s="129">
        <f>AVERAGE(D14:J14)</f>
        <v>147.85127749064694</v>
      </c>
      <c r="H7" s="130"/>
      <c r="I7" s="129">
        <f>AVERAGE(K14:M14)</f>
        <v>136.00323236867672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0.95595023784334265</v>
      </c>
      <c r="F8" s="132">
        <f>AVERAGE(D15:J15,D33:O33)</f>
        <v>0.95563784061644264</v>
      </c>
      <c r="G8" s="133">
        <f>AVERAGE(D15:J15)</f>
        <v>0.95563784061644264</v>
      </c>
      <c r="H8" s="134"/>
      <c r="I8" s="133">
        <f>AVERAGE(K15:M15)</f>
        <v>0.95667916470610936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1004</v>
      </c>
      <c r="N9" s="47"/>
      <c r="O9" s="47"/>
      <c r="P9" s="47"/>
      <c r="Q9" s="47"/>
    </row>
    <row r="10" spans="2:17" ht="30" customHeight="1">
      <c r="B10" s="107" t="s">
        <v>1005</v>
      </c>
      <c r="C10" s="108"/>
      <c r="D10" s="109" t="s">
        <v>158</v>
      </c>
      <c r="E10" s="110"/>
      <c r="F10" s="110"/>
      <c r="G10" s="110"/>
      <c r="H10" s="110"/>
      <c r="I10" s="110"/>
      <c r="J10" s="111"/>
      <c r="K10" s="112" t="s">
        <v>1006</v>
      </c>
      <c r="L10" s="113"/>
      <c r="M10" s="114"/>
      <c r="P10" s="53"/>
      <c r="Q10" s="53"/>
    </row>
    <row r="11" spans="2:17" ht="17.25" customHeight="1">
      <c r="B11" s="115" t="s">
        <v>160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1007</v>
      </c>
      <c r="C13" s="60" t="s">
        <v>1008</v>
      </c>
      <c r="D13" s="61">
        <f>SUMIFS('0311 4度C'!$K:$K,'0311 4度C'!$A:$A,"新豐6線",'0311 4度C'!$B:$B,"平均")</f>
        <v>113.63636363636363</v>
      </c>
      <c r="E13" s="62">
        <f>SUMIFS('0311 4度C'!$K:$K,'0311 4度C'!$A:$A,"新豐2線",'0311 4度C'!$B:$B,"平均")</f>
        <v>83.333333333333329</v>
      </c>
      <c r="F13" s="63">
        <f>SUMIFS('0311 4度C'!$K:$K,'0311 4度C'!$A:$A,"新豐5線",'0311 4度C'!$B:$B,"平均")</f>
        <v>102.73972602739725</v>
      </c>
      <c r="G13" s="63">
        <f>SUMIFS('0311 4度C'!$K:$K,'0311 4度C'!$A:$A,"新豐7線",'0311 4度C'!$B:$B,"平均")</f>
        <v>128.37837837837839</v>
      </c>
      <c r="H13" s="63">
        <f>SUMIFS('0311 4度C'!$K:$K,'0311 4度C'!$A:$A,"新豐3線",'0311 4度C'!$B:$B,"平均")</f>
        <v>313.95348837209303</v>
      </c>
      <c r="I13" s="63">
        <f>SUMIFS('0311 4度C'!$K:$K,'0311 4度C'!$A:$A,"新豐1線",'0311 4度C'!$B:$B,"平均")</f>
        <v>102.64900662251655</v>
      </c>
      <c r="J13" s="64">
        <f>SUMIFS('0311 4度C'!$K:$K,'0311 4度C'!$A:$A,"新豐10線",'0311 4度C'!$B:$B,"平均")</f>
        <v>237.5</v>
      </c>
      <c r="K13" s="65">
        <f>SUMIFS('0311 4度C'!$K:$K,'0311 4度C'!$A:$A,"新豐8線",'0311 4度C'!$B:$B,"平均")</f>
        <v>136.17021276595744</v>
      </c>
      <c r="L13" s="66">
        <f>SUMIFS('0311 4度C'!$K:$K,'0311 4度C'!$A:$A,"新豐9線",'0311 4度C'!$B:$B,"平均")</f>
        <v>137.14285714285714</v>
      </c>
      <c r="M13" s="64">
        <f>SUMIFS('0311 4度C'!$K:$K,'0311 4度C'!$A:$A,"新豐4線",'0311 4度C'!$B:$B,"平均")</f>
        <v>153.19148936170214</v>
      </c>
    </row>
    <row r="14" spans="2:17" ht="39.6" customHeight="1">
      <c r="B14" s="120"/>
      <c r="C14" s="67" t="s">
        <v>1009</v>
      </c>
      <c r="D14" s="68">
        <f>SUMIFS('0311 4度C'!$N:$N,'0311 4度C'!$A:$A,"新豐6線",'0311 4度C'!$B:$B,"平均")</f>
        <v>108.30357171432702</v>
      </c>
      <c r="E14" s="69">
        <f>SUMIFS('0311 4度C'!$N:$N,'0311 4度C'!$A:$A,"新豐2線",'0311 4度C'!$B:$B,"平均")</f>
        <v>79.671913740414013</v>
      </c>
      <c r="F14" s="69">
        <f>SUMIFS('0311 4度C'!$N:$N,'0311 4度C'!$A:$A,"新豐5線",'0311 4度C'!$B:$B,"平均")</f>
        <v>99.1511403357825</v>
      </c>
      <c r="G14" s="69">
        <f>SUMIFS('0311 4度C'!$N:$N,'0311 4度C'!$A:$A,"新豐7線",'0311 4度C'!$B:$B,"平均")</f>
        <v>123.06647830065945</v>
      </c>
      <c r="H14" s="69">
        <f>SUMIFS('0311 4度C'!$N:$N,'0311 4度C'!$A:$A,"新豐3線",'0311 4度C'!$B:$B,"平均")</f>
        <v>300.64814585624134</v>
      </c>
      <c r="I14" s="69">
        <f>SUMIFS('0311 4度C'!$N:$N,'0311 4度C'!$A:$A,"新豐1線",'0311 4度C'!$B:$B,"平均")</f>
        <v>96.595674798910053</v>
      </c>
      <c r="J14" s="70">
        <f>SUMIFS('0311 4度C'!$N:$N,'0311 4度C'!$A:$A,"新豐10線",'0311 4度C'!$B:$B,"平均")</f>
        <v>227.52201768819418</v>
      </c>
      <c r="K14" s="71">
        <f>SUMIFS('0311 4度C'!$N:$N,'0311 4度C'!$A:$A,"新豐8線",'0311 4度C'!$B:$B,"平均")</f>
        <v>130.50427702009952</v>
      </c>
      <c r="L14" s="72">
        <f>SUMIFS('0311 4度C'!$N:$N,'0311 4度C'!$A:$A,"新豐9線",'0311 4度C'!$B:$B,"平均")</f>
        <v>131.10937566826533</v>
      </c>
      <c r="M14" s="70">
        <f>SUMIFS('0311 4度C'!$N:$N,'0311 4度C'!$A:$A,"新豐4線",'0311 4度C'!$B:$B,"平均")</f>
        <v>146.39604441766534</v>
      </c>
    </row>
    <row r="15" spans="2:17" ht="40.15" customHeight="1">
      <c r="B15" s="121"/>
      <c r="C15" s="73" t="s">
        <v>1010</v>
      </c>
      <c r="D15" s="74">
        <f t="shared" ref="D15:M15" si="0">D14/D13</f>
        <v>0.95307143108607784</v>
      </c>
      <c r="E15" s="75">
        <f t="shared" si="0"/>
        <v>0.95606296488496822</v>
      </c>
      <c r="F15" s="75">
        <f t="shared" si="0"/>
        <v>0.96507109926828305</v>
      </c>
      <c r="G15" s="75">
        <f t="shared" si="0"/>
        <v>0.95862309413145252</v>
      </c>
      <c r="H15" s="75">
        <f t="shared" si="0"/>
        <v>0.95762002013469461</v>
      </c>
      <c r="I15" s="75">
        <f t="shared" si="0"/>
        <v>0.94102883191196252</v>
      </c>
      <c r="J15" s="76">
        <f t="shared" si="0"/>
        <v>0.95798744289765969</v>
      </c>
      <c r="K15" s="74">
        <f t="shared" si="0"/>
        <v>0.95839078436635583</v>
      </c>
      <c r="L15" s="75">
        <f t="shared" si="0"/>
        <v>0.95600586424776801</v>
      </c>
      <c r="M15" s="76">
        <f t="shared" si="0"/>
        <v>0.95564084550420425</v>
      </c>
    </row>
    <row r="16" spans="2:17" ht="17.25" customHeight="1">
      <c r="B16" s="122" t="s">
        <v>1011</v>
      </c>
      <c r="C16" s="77" t="s">
        <v>1012</v>
      </c>
      <c r="D16" s="78">
        <f>VLOOKUP("新豐6線",'0311 4度C'!$A:$T,19,0)</f>
        <v>0.70833333333333337</v>
      </c>
      <c r="E16" s="79">
        <f>VLOOKUP("新豐2線",'0311 4度C'!$A:$T,19,0)</f>
        <v>0.20833333333333334</v>
      </c>
      <c r="F16" s="79">
        <f>VLOOKUP("新豐5線",'0311 4度C'!$A:$T,19,0)</f>
        <v>0.20833333333333334</v>
      </c>
      <c r="G16" s="79">
        <f>VLOOKUP("新豐7線",'0311 4度C'!$A:$T,19,0)</f>
        <v>0.20833333333333334</v>
      </c>
      <c r="H16" s="79">
        <f>VLOOKUP("新豐3線",'0311 4度C'!$A:$T,19,0)</f>
        <v>0.20833333333333334</v>
      </c>
      <c r="I16" s="79">
        <f>VLOOKUP("新豐1線",'0311 4度C'!$A:$T,19,0)</f>
        <v>0.20833333333333334</v>
      </c>
      <c r="J16" s="80">
        <f>VLOOKUP("新豐10線",'0311 4度C'!$A:$T,19,0)</f>
        <v>0.20833333333333334</v>
      </c>
      <c r="K16" s="81">
        <f>VLOOKUP("新豐8線",'0311 4度C'!$A:$T,19,0)</f>
        <v>0.125</v>
      </c>
      <c r="L16" s="82">
        <f>VLOOKUP("新豐9線",'0311 4度C'!$A:$T,19,0)</f>
        <v>0.125</v>
      </c>
      <c r="M16" s="83">
        <f>VLOOKUP("新豐4線",'0311 4度C'!$A:$T,19,0)</f>
        <v>0.125</v>
      </c>
    </row>
    <row r="17" spans="2:13" ht="17.25" customHeight="1">
      <c r="B17" s="123"/>
      <c r="C17" s="77" t="s">
        <v>1013</v>
      </c>
      <c r="D17" s="81">
        <f>LOOKUP(2,1/(('0311 4度C'!$A:$A="新豐6線")*('0311 4度C'!$T:$T&lt;&gt;"")),'0311 4度C'!$T:$T)</f>
        <v>0.84166666666666656</v>
      </c>
      <c r="E17" s="79">
        <f>LOOKUP(2,1/(('0311 4度C'!$A:$A="新豐2線")*('0311 4度C'!$T:$T&lt;&gt;"")),'0311 4度C'!$T:$T)</f>
        <v>0.48124999999999996</v>
      </c>
      <c r="F17" s="79">
        <f>LOOKUP(2,1/(('0311 4度C'!$A:$A="新豐5線")*('0311 4度C'!$T:$T&lt;&gt;"")),'0311 4度C'!$T:$T)</f>
        <v>0.84027777777777779</v>
      </c>
      <c r="G17" s="79">
        <f>LOOKUP(2,1/(('0311 4度C'!$A:$A="新豐7線")*('0311 4度C'!$T:$T&lt;&gt;"")),'0311 4度C'!$T:$T)</f>
        <v>0.85069444444444453</v>
      </c>
      <c r="H17" s="79">
        <f>LOOKUP(2,1/(('0311 4度C'!$A:$A="新豐3線")*('0311 4度C'!$T:$T&lt;&gt;"")),'0311 4度C'!$T:$T)</f>
        <v>0.65763888888888877</v>
      </c>
      <c r="I17" s="79">
        <f>LOOKUP(2,1/(('0311 4度C'!$A:$A="新豐1線")*('0311 4度C'!$T:$T&lt;&gt;"")),'0311 4度C'!$T:$T)</f>
        <v>0.85416666666666663</v>
      </c>
      <c r="J17" s="80">
        <f>LOOKUP(2,1/(('0311 4度C'!$A:$A="新豐10線")*('0311 4度C'!$T:$T&lt;&gt;"")),'0311 4度C'!$T:$T)</f>
        <v>0.45486111111111105</v>
      </c>
      <c r="K17" s="78">
        <f>LOOKUP(2,1/(('0311 4度C'!$A:$A="新豐8線")*('0311 4度C'!$T:$T&lt;&gt;"")),'0311 4度C'!$T:$T)</f>
        <v>0.62083333333333324</v>
      </c>
      <c r="L17" s="79">
        <f>LOOKUP(2,1/(('0311 4度C'!$A:$A="新豐9線")*('0311 4度C'!$T:$T&lt;&gt;"")),'0311 4度C'!$T:$T)</f>
        <v>0.66249999999999964</v>
      </c>
      <c r="M17" s="80">
        <f>LOOKUP(2,1/(('0311 4度C'!$A:$A="新豐4線")*('0311 4度C'!$T:$T&lt;&gt;"")),'0311 4度C'!$T:$T)</f>
        <v>0.6333333333333333</v>
      </c>
    </row>
    <row r="18" spans="2:13" ht="17.25" customHeight="1">
      <c r="B18" s="101" t="s">
        <v>1014</v>
      </c>
      <c r="C18" s="84" t="s">
        <v>1015</v>
      </c>
      <c r="D18" s="85">
        <f>SUMIFS('0311 4度C'!$Y:$Y,'0311 4度C'!$A:$A,"新豐6線",'0311 4度C'!$B:$B,"平均")</f>
        <v>0</v>
      </c>
      <c r="E18" s="86">
        <f>SUMIFS('0311 4度C'!$Y:$Y,'0311 4度C'!$A:$A,"新豐2線",'0311 4度C'!$B:$B,"平均")</f>
        <v>0</v>
      </c>
      <c r="F18" s="86">
        <f>SUMIFS('0311 4度C'!$Y:$Y,'0311 4度C'!$A:$A,"新豐5線",'0311 4度C'!$B:$B,"平均")</f>
        <v>0</v>
      </c>
      <c r="G18" s="86">
        <f>SUMIFS('0311 4度C'!$Y:$Y,'0311 4度C'!$A:$A,"新豐7線",'0311 4度C'!$B:$B,"平均")</f>
        <v>0</v>
      </c>
      <c r="H18" s="86">
        <f>SUMIFS('0311 4度C'!$Y:$Y,'0311 4度C'!$A:$A,"新豐3線",'0311 4度C'!$B:$B,"平均")</f>
        <v>0</v>
      </c>
      <c r="I18" s="86">
        <f>SUMIFS('0311 4度C'!$Y:$Y,'0311 4度C'!$A:$A,"新豐1線",'0311 4度C'!$B:$B,"平均")</f>
        <v>0</v>
      </c>
      <c r="J18" s="87">
        <f>SUMIFS('0311 4度C'!$Y:$Y,'0311 4度C'!$A:$A,"新豐10線",'0311 4度C'!$B:$B,"平均")</f>
        <v>0</v>
      </c>
      <c r="K18" s="88">
        <f>SUMIFS('0311 4度C'!$Y:$Y,'0311 4度C'!$A:$A,"新豐8線",'0311 4度C'!$B:$B,"平均")</f>
        <v>0</v>
      </c>
      <c r="L18" s="86">
        <f>SUMIFS('0311 4度C'!$Y:$Y,'0311 4度C'!$A:$A,"新豐9線",'0311 4度C'!$B:$B,"平均")</f>
        <v>0</v>
      </c>
      <c r="M18" s="87">
        <f>SUMIFS('0311 4度C'!$Y:$Y,'0311 4度C'!$A:$A,"新豐4線",'0311 4度C'!$B:$B,"平均")</f>
        <v>0</v>
      </c>
    </row>
    <row r="19" spans="2:13" ht="17.25" customHeight="1">
      <c r="B19" s="102"/>
      <c r="C19" s="84" t="s">
        <v>42</v>
      </c>
      <c r="D19" s="85">
        <f>SUMIFS('0311 4度C'!$Z:$Z,'0311 4度C'!$A:$A,"新豐6線",'0311 4度C'!$B:$B,"平均")</f>
        <v>0</v>
      </c>
      <c r="E19" s="86">
        <f>SUMIFS('0311 4度C'!$Z:$Z,'0311 4度C'!$A:$A,"新豐2線",'0311 4度C'!$B:$B,"平均")</f>
        <v>0</v>
      </c>
      <c r="F19" s="86">
        <f>SUMIFS('0311 4度C'!$Z:$Z,'0311 4度C'!$A:$A,"新豐5線",'0311 4度C'!$B:$B,"平均")</f>
        <v>0</v>
      </c>
      <c r="G19" s="86">
        <f>SUMIFS('0311 4度C'!$Z:$Z,'0311 4度C'!$A:$A,"新豐7線",'0311 4度C'!$B:$B,"平均")</f>
        <v>0</v>
      </c>
      <c r="H19" s="86">
        <f>SUMIFS('0311 4度C'!$Z:$Z,'0311 4度C'!$A:$A,"新豐3線",'0311 4度C'!$B:$B,"平均")</f>
        <v>0</v>
      </c>
      <c r="I19" s="86">
        <f>SUMIFS('0311 4度C'!$Z:$Z,'0311 4度C'!$A:$A,"新豐1線",'0311 4度C'!$B:$B,"平均")</f>
        <v>0</v>
      </c>
      <c r="J19" s="87">
        <f>SUMIFS('0311 4度C'!$Z:$Z,'0311 4度C'!$A:$A,"新豐10線",'0311 4度C'!$B:$B,"平均")</f>
        <v>0</v>
      </c>
      <c r="K19" s="88">
        <f>SUMIFS('0311 4度C'!$Z:$Z,'0311 4度C'!$A:$A,"新豐8線",'0311 4度C'!$B:$B,"平均")</f>
        <v>0</v>
      </c>
      <c r="L19" s="86">
        <f>SUMIFS('0311 4度C'!$Z:$Z,'0311 4度C'!$A:$A,"新豐9線",'0311 4度C'!$B:$B,"平均")</f>
        <v>0</v>
      </c>
      <c r="M19" s="87">
        <f>SUMIFS('0311 4度C'!$Z:$Z,'0311 4度C'!$A:$A,"新豐4線",'0311 4度C'!$B:$B,"平均")</f>
        <v>0</v>
      </c>
    </row>
    <row r="20" spans="2:13" ht="17.25" customHeight="1">
      <c r="B20" s="101" t="s">
        <v>1016</v>
      </c>
      <c r="C20" s="84" t="s">
        <v>1015</v>
      </c>
      <c r="D20" s="85">
        <f>SUMIFS('0311 4度C'!$AC:$AC,'0311 4度C'!$A:$A,"新豐6線",'0311 4度C'!$B:$B,"平均")</f>
        <v>5</v>
      </c>
      <c r="E20" s="86">
        <f>SUMIFS('0311 4度C'!$AC:$AC,'0311 4度C'!$A:$A,"新豐2線",'0311 4度C'!$B:$B,"平均")</f>
        <v>2</v>
      </c>
      <c r="F20" s="86">
        <f>SUMIFS('0311 4度C'!$AC:$AC,'0311 4度C'!$A:$A,"新豐5線",'0311 4度C'!$B:$B,"平均")</f>
        <v>4</v>
      </c>
      <c r="G20" s="86">
        <f>SUMIFS('0311 4度C'!$AC:$AC,'0311 4度C'!$A:$A,"新豐7線",'0311 4度C'!$B:$B,"平均")</f>
        <v>5</v>
      </c>
      <c r="H20" s="86">
        <f>SUMIFS('0311 4度C'!$AC:$AC,'0311 4度C'!$A:$A,"新豐3線",'0311 4度C'!$B:$B,"平均")</f>
        <v>9</v>
      </c>
      <c r="I20" s="86">
        <f>SUMIFS('0311 4度C'!$AC:$AC,'0311 4度C'!$A:$A,"新豐1線",'0311 4度C'!$B:$B,"平均")</f>
        <v>8</v>
      </c>
      <c r="J20" s="87">
        <f>SUMIFS('0311 4度C'!$AC:$AC,'0311 4度C'!$A:$A,"新豐10線",'0311 4度C'!$B:$B,"平均")</f>
        <v>4</v>
      </c>
      <c r="K20" s="88">
        <f>SUMIFS('0311 4度C'!$AC:$AC,'0311 4度C'!$A:$A,"新豐8線",'0311 4度C'!$B:$B,"平均")</f>
        <v>8</v>
      </c>
      <c r="L20" s="86">
        <f>SUMIFS('0311 4度C'!$AC:$AC,'0311 4度C'!$A:$A,"新豐9線",'0311 4度C'!$B:$B,"平均")</f>
        <v>8</v>
      </c>
      <c r="M20" s="87">
        <f>SUMIFS('0311 4度C'!$AC:$AC,'0311 4度C'!$A:$A,"新豐4線",'0311 4度C'!$B:$B,"平均")</f>
        <v>6</v>
      </c>
    </row>
    <row r="21" spans="2:13" ht="17.25" customHeight="1">
      <c r="B21" s="102"/>
      <c r="C21" s="84" t="s">
        <v>182</v>
      </c>
      <c r="D21" s="85">
        <f>SUMIFS('0311 4度C'!$AD:$AD,'0311 4度C'!$A:$A,"新豐6線",'0311 4度C'!$B:$B,"平均")</f>
        <v>0</v>
      </c>
      <c r="E21" s="86">
        <f>SUMIFS('0311 4度C'!$AD:$AD,'0311 4度C'!$A:$A,"新豐2線",'0311 4度C'!$B:$B,"平均")</f>
        <v>0</v>
      </c>
      <c r="F21" s="86">
        <f>SUMIFS('0311 4度C'!$AD:$AD,'0311 4度C'!$A:$A,"新豐5線",'0311 4度C'!$B:$B,"平均")</f>
        <v>0</v>
      </c>
      <c r="G21" s="86">
        <f>SUMIFS('0311 4度C'!$AD:$AD,'0311 4度C'!$A:$A,"新豐7線",'0311 4度C'!$B:$B,"平均")</f>
        <v>0</v>
      </c>
      <c r="H21" s="86">
        <f>SUMIFS('0311 4度C'!$AD:$AD,'0311 4度C'!$A:$A,"新豐3線",'0311 4度C'!$B:$B,"平均")</f>
        <v>0</v>
      </c>
      <c r="I21" s="86">
        <f>SUMIFS('0311 4度C'!$AD:$AD,'0311 4度C'!$A:$A,"新豐1線",'0311 4度C'!$B:$B,"平均")</f>
        <v>0</v>
      </c>
      <c r="J21" s="87">
        <f>SUMIFS('0311 4度C'!$AD:$AD,'0311 4度C'!$A:$A,"新豐10線",'0311 4度C'!$B:$B,"平均")</f>
        <v>0</v>
      </c>
      <c r="K21" s="88">
        <f>SUMIFS('0311 4度C'!$AD:$AD,'0311 4度C'!$A:$A,"新豐8線",'0311 4度C'!$B:$B,"平均")</f>
        <v>0</v>
      </c>
      <c r="L21" s="86">
        <f>SUMIFS('0311 4度C'!$AD:$AD,'0311 4度C'!$A:$A,"新豐9線",'0311 4度C'!$B:$B,"平均")</f>
        <v>0</v>
      </c>
      <c r="M21" s="87">
        <f>SUMIFS('0311 4度C'!$AD:$AD,'0311 4度C'!$A:$A,"新豐4線",'0311 4度C'!$B:$B,"平均")</f>
        <v>0</v>
      </c>
    </row>
    <row r="22" spans="2:13" ht="17.25" customHeight="1">
      <c r="B22" s="103" t="s">
        <v>1017</v>
      </c>
      <c r="C22" s="104"/>
      <c r="D22" s="89">
        <f>SUMIFS('0311 4度C'!$I:$I,'0311 4度C'!$A:$A,"新豐6線",'0311 4度C'!$B:$B,"平均")</f>
        <v>17.600000000000001</v>
      </c>
      <c r="E22" s="90">
        <f>SUMIFS('0311 4度C'!$I:$I,'0311 4度C'!$A:$A,"新豐2線",'0311 4度C'!$B:$B,"平均")</f>
        <v>18</v>
      </c>
      <c r="F22" s="90">
        <f>SUMIFS('0311 4度C'!$I:$I,'0311 4度C'!$A:$A,"新豐5線",'0311 4度C'!$B:$B,"平均")</f>
        <v>18.25</v>
      </c>
      <c r="G22" s="90">
        <f>SUMIFS('0311 4度C'!$I:$I,'0311 4度C'!$A:$A,"新豐7線",'0311 4度C'!$B:$B,"平均")</f>
        <v>14.8</v>
      </c>
      <c r="H22" s="90">
        <f>SUMIFS('0311 4度C'!$I:$I,'0311 4度C'!$A:$A,"新豐3線",'0311 4度C'!$B:$B,"平均")</f>
        <v>9.5555555555555554</v>
      </c>
      <c r="I22" s="90">
        <f>SUMIFS('0311 4度C'!$I:$I,'0311 4度C'!$A:$A,"新豐1線",'0311 4度C'!$B:$B,"平均")</f>
        <v>18.875</v>
      </c>
      <c r="J22" s="91">
        <f>SUMIFS('0311 4度C'!$I:$I,'0311 4度C'!$A:$A,"新豐10線",'0311 4度C'!$B:$B,"平均")</f>
        <v>10</v>
      </c>
      <c r="K22" s="89">
        <f>SUMIFS('0311 4度C'!$I:$I,'0311 4度C'!$A:$A,"新豐8線",'0311 4度C'!$B:$B,"平均")</f>
        <v>17.625</v>
      </c>
      <c r="L22" s="90">
        <f>SUMIFS('0311 4度C'!$I:$I,'0311 4度C'!$A:$A,"新豐9線",'0311 4度C'!$B:$B,"平均")</f>
        <v>17.5</v>
      </c>
      <c r="M22" s="91">
        <f>SUMIFS('0311 4度C'!$I:$I,'0311 4度C'!$A:$A,"新豐4線",'0311 4度C'!$B:$B,"平均")</f>
        <v>15.666666666666666</v>
      </c>
    </row>
    <row r="23" spans="2:13" ht="17.25" customHeight="1">
      <c r="B23" s="103" t="s">
        <v>184</v>
      </c>
      <c r="C23" s="104"/>
      <c r="D23" s="92" t="s">
        <v>185</v>
      </c>
      <c r="E23" s="93" t="s">
        <v>186</v>
      </c>
      <c r="F23" s="93" t="s">
        <v>187</v>
      </c>
      <c r="G23" s="93" t="s">
        <v>187</v>
      </c>
      <c r="H23" s="93" t="s">
        <v>188</v>
      </c>
      <c r="I23" s="93" t="s">
        <v>185</v>
      </c>
      <c r="J23" s="94" t="s">
        <v>188</v>
      </c>
      <c r="K23" s="92" t="s">
        <v>1018</v>
      </c>
      <c r="L23" s="93" t="s">
        <v>1018</v>
      </c>
      <c r="M23" s="94" t="s">
        <v>1019</v>
      </c>
    </row>
    <row r="24" spans="2:13" ht="17.25" customHeight="1">
      <c r="B24" s="103" t="s">
        <v>1020</v>
      </c>
      <c r="C24" s="104"/>
      <c r="D24" s="92"/>
      <c r="E24" s="93"/>
      <c r="F24" s="93" t="s">
        <v>1021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1022</v>
      </c>
      <c r="C25" s="106"/>
      <c r="D25" s="95"/>
      <c r="E25" s="96" t="s">
        <v>1023</v>
      </c>
      <c r="F25" s="99" t="s">
        <v>1024</v>
      </c>
      <c r="G25" s="100"/>
      <c r="H25" s="96" t="s">
        <v>1025</v>
      </c>
      <c r="I25" s="96" t="s">
        <v>1026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AG74"/>
  <sheetViews>
    <sheetView zoomScale="80" zoomScaleNormal="80" workbookViewId="0">
      <pane ySplit="4" topLeftCell="A5" activePane="bottomLeft" state="frozen"/>
      <selection activeCell="G13" sqref="G13"/>
      <selection pane="bottomLeft" activeCell="G13" sqref="G1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SUM(F5:F73)</f>
        <v>155709</v>
      </c>
      <c r="E1" s="4" t="s">
        <v>2</v>
      </c>
      <c r="F1" s="1">
        <f>SUM(G5:G73)</f>
        <v>5138473.3199999994</v>
      </c>
      <c r="G1" s="1" t="s">
        <v>3</v>
      </c>
      <c r="H1" s="5">
        <f>L10+L13+L52+L61+L18+L66+L33+L42+L24+L73</f>
        <v>157.87222222222223</v>
      </c>
      <c r="I1" s="212" t="s">
        <v>4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252</v>
      </c>
      <c r="T1" s="212"/>
      <c r="U1" s="212"/>
      <c r="V1" s="212"/>
      <c r="W1" s="212"/>
      <c r="X1" s="212"/>
      <c r="Y1" s="6" t="s">
        <v>8</v>
      </c>
      <c r="Z1" s="7" t="s">
        <v>9</v>
      </c>
      <c r="AA1" s="213" t="s">
        <v>255</v>
      </c>
      <c r="AB1" s="213"/>
      <c r="AC1" s="42" t="s">
        <v>8</v>
      </c>
      <c r="AD1" s="7" t="s">
        <v>256</v>
      </c>
      <c r="AE1" s="212" t="s">
        <v>12</v>
      </c>
      <c r="AF1" s="214"/>
      <c r="AG1" s="214"/>
    </row>
    <row r="2" spans="1:33" ht="26.25" customHeight="1">
      <c r="A2" s="33">
        <v>46092</v>
      </c>
      <c r="B2" s="34" t="s">
        <v>466</v>
      </c>
      <c r="C2" s="2" t="s">
        <v>13</v>
      </c>
      <c r="D2" s="9">
        <f>AVERAGE(N10,N13,N52,N61,N18,N66,N24,N33,N42,N73)</f>
        <v>144.29686395405588</v>
      </c>
      <c r="E2" s="10" t="s">
        <v>14</v>
      </c>
      <c r="F2" s="11">
        <f>F1/D1</f>
        <v>33.000490145078317</v>
      </c>
      <c r="G2" s="1" t="s">
        <v>259</v>
      </c>
      <c r="H2" s="12">
        <f>COUNT(H5:H73)</f>
        <v>10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SUM(Y10+Y13+Y18+Y24+Y33+Y42+Y52+Y61+Y66+Y73)</f>
        <v>0</v>
      </c>
      <c r="Z2" s="13">
        <f>SUM(Z10+Z13+Z18+Z24+Z33+Z42+Z52+Z61+Z66+Z73)</f>
        <v>0</v>
      </c>
      <c r="AA2" s="213"/>
      <c r="AB2" s="213"/>
      <c r="AC2" s="13">
        <f>SUM(AC10+AC13+AC18+AC24+AC33+AC42+AC52+AC61+AC66+AC73)</f>
        <v>59</v>
      </c>
      <c r="AD2" s="13">
        <f>SUM(AD10+AD13+AD18+AD24+AD33+AD42+AD52+AD61+AD66+AD73)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261</v>
      </c>
      <c r="C3" s="162" t="s">
        <v>262</v>
      </c>
      <c r="D3" s="162"/>
      <c r="E3" s="210" t="s">
        <v>263</v>
      </c>
      <c r="F3" s="162" t="s">
        <v>20</v>
      </c>
      <c r="G3" s="210" t="s">
        <v>21</v>
      </c>
      <c r="H3" s="204" t="s">
        <v>266</v>
      </c>
      <c r="I3" s="202" t="s">
        <v>267</v>
      </c>
      <c r="J3" s="199" t="s">
        <v>24</v>
      </c>
      <c r="K3" s="209" t="s">
        <v>13</v>
      </c>
      <c r="L3" s="202" t="s">
        <v>267</v>
      </c>
      <c r="M3" s="199" t="s">
        <v>24</v>
      </c>
      <c r="N3" s="209" t="s">
        <v>13</v>
      </c>
      <c r="O3" s="202" t="s">
        <v>267</v>
      </c>
      <c r="P3" s="209" t="s">
        <v>13</v>
      </c>
      <c r="Q3" s="200" t="s">
        <v>25</v>
      </c>
      <c r="R3" s="178" t="s">
        <v>36</v>
      </c>
      <c r="S3" s="162" t="s">
        <v>27</v>
      </c>
      <c r="T3" s="162"/>
      <c r="U3" s="204" t="s">
        <v>28</v>
      </c>
      <c r="V3" s="204" t="s">
        <v>1027</v>
      </c>
      <c r="W3" s="162" t="s">
        <v>1028</v>
      </c>
      <c r="X3" s="162"/>
      <c r="Y3" s="205" t="s">
        <v>1029</v>
      </c>
      <c r="Z3" s="166"/>
      <c r="AA3" s="206" t="s">
        <v>274</v>
      </c>
      <c r="AB3" s="207"/>
      <c r="AC3" s="205" t="s">
        <v>275</v>
      </c>
      <c r="AD3" s="166"/>
      <c r="AE3" s="199" t="s">
        <v>1030</v>
      </c>
      <c r="AF3" s="200" t="s">
        <v>25</v>
      </c>
      <c r="AG3" s="178" t="s">
        <v>36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1031</v>
      </c>
      <c r="X4" s="4" t="s">
        <v>1032</v>
      </c>
      <c r="Y4" s="14" t="s">
        <v>1033</v>
      </c>
      <c r="Z4" s="14" t="s">
        <v>1034</v>
      </c>
      <c r="AA4" s="208"/>
      <c r="AB4" s="207"/>
      <c r="AC4" s="14" t="s">
        <v>1035</v>
      </c>
      <c r="AD4" s="14" t="s">
        <v>1036</v>
      </c>
      <c r="AE4" s="199"/>
      <c r="AF4" s="200"/>
      <c r="AG4" s="178"/>
    </row>
    <row r="5" spans="1:33">
      <c r="A5" s="201" t="s">
        <v>1037</v>
      </c>
      <c r="B5" s="35" t="s">
        <v>78</v>
      </c>
      <c r="C5" s="203" t="s">
        <v>79</v>
      </c>
      <c r="D5" s="203"/>
      <c r="E5" s="35">
        <v>50.67</v>
      </c>
      <c r="F5" s="4">
        <v>1463</v>
      </c>
      <c r="G5" s="4">
        <f t="shared" ref="G5:G9" si="0">E5*F5</f>
        <v>74130.210000000006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1908.2608695652175</v>
      </c>
      <c r="N5" s="16">
        <f t="shared" ref="N5:N68" si="3">M5/L5</f>
        <v>112.25063938618926</v>
      </c>
      <c r="O5" s="18">
        <f t="shared" ref="O5:O68" si="4">L5-I5</f>
        <v>0</v>
      </c>
      <c r="P5" s="19">
        <f t="shared" ref="P5:P68" si="5">N5-K5</f>
        <v>-5.3964194373401426</v>
      </c>
      <c r="Q5" s="20">
        <f t="shared" ref="Q5:Q68" si="6">N5/K5</f>
        <v>0.95413043478260884</v>
      </c>
      <c r="R5" s="170">
        <f>Q10</f>
        <v>0.95307143108607784</v>
      </c>
      <c r="S5" s="27">
        <v>0.70833333333333337</v>
      </c>
      <c r="T5" s="27">
        <v>0.74027777777777781</v>
      </c>
      <c r="U5" s="4"/>
      <c r="V5" s="21">
        <f t="shared" ref="V5:V9" si="7">(T5-S5)*24*60</f>
        <v>46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0" si="8">M5-J5</f>
        <v>-91.73913043478251</v>
      </c>
      <c r="AF5" s="20">
        <f t="shared" ref="AF5:AF68" si="9">M5/J5</f>
        <v>0.95413043478260873</v>
      </c>
      <c r="AG5" s="170">
        <f>AF10</f>
        <v>0.95307143108607784</v>
      </c>
    </row>
    <row r="6" spans="1:33">
      <c r="A6" s="202" t="s">
        <v>1038</v>
      </c>
      <c r="B6" s="35" t="s">
        <v>78</v>
      </c>
      <c r="C6" s="203" t="s">
        <v>80</v>
      </c>
      <c r="D6" s="203"/>
      <c r="E6" s="35">
        <v>54.09</v>
      </c>
      <c r="F6" s="4">
        <v>1231</v>
      </c>
      <c r="G6" s="4">
        <f t="shared" si="0"/>
        <v>66584.790000000008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1943.6842105263142</v>
      </c>
      <c r="N6" s="16">
        <f t="shared" si="3"/>
        <v>102.29916897506916</v>
      </c>
      <c r="O6" s="18">
        <f t="shared" si="4"/>
        <v>0</v>
      </c>
      <c r="P6" s="19">
        <f t="shared" si="5"/>
        <v>-2.9639889196676705</v>
      </c>
      <c r="Q6" s="20">
        <f t="shared" si="6"/>
        <v>0.97184210526315717</v>
      </c>
      <c r="R6" s="170"/>
      <c r="S6" s="27">
        <v>0.74513888888888891</v>
      </c>
      <c r="T6" s="27">
        <v>0.77152777777777781</v>
      </c>
      <c r="U6" s="4">
        <f t="shared" ref="U6:U9" si="10">IF(S6=TIME(17,0,0),"",(S6-T5)*24*60)</f>
        <v>6.9999999999999751</v>
      </c>
      <c r="V6" s="21">
        <f t="shared" si="7"/>
        <v>38.000000000000028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-56.315789473685754</v>
      </c>
      <c r="AF6" s="20">
        <f t="shared" si="9"/>
        <v>0.97184210526315717</v>
      </c>
      <c r="AG6" s="170"/>
    </row>
    <row r="7" spans="1:33">
      <c r="A7" s="202" t="s">
        <v>1038</v>
      </c>
      <c r="B7" s="35" t="s">
        <v>78</v>
      </c>
      <c r="C7" s="197" t="s">
        <v>81</v>
      </c>
      <c r="D7" s="198"/>
      <c r="E7" s="35">
        <v>50.29</v>
      </c>
      <c r="F7" s="4">
        <v>477</v>
      </c>
      <c r="G7" s="4">
        <f t="shared" si="0"/>
        <v>23988.329999999998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1908.0000000000068</v>
      </c>
      <c r="N7" s="16">
        <f t="shared" si="3"/>
        <v>119.25000000000043</v>
      </c>
      <c r="O7" s="18">
        <f t="shared" si="4"/>
        <v>0</v>
      </c>
      <c r="P7" s="19">
        <f t="shared" si="5"/>
        <v>-5.7499999999995737</v>
      </c>
      <c r="Q7" s="20">
        <f t="shared" si="6"/>
        <v>0.9540000000000034</v>
      </c>
      <c r="R7" s="170"/>
      <c r="S7" s="27">
        <v>0.77500000000000002</v>
      </c>
      <c r="T7" s="27">
        <v>0.78541666666666665</v>
      </c>
      <c r="U7" s="4">
        <f t="shared" si="10"/>
        <v>4.9999999999999822</v>
      </c>
      <c r="V7" s="21">
        <f t="shared" si="7"/>
        <v>14.999999999999947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-91.999999999993179</v>
      </c>
      <c r="AF7" s="20">
        <f t="shared" si="9"/>
        <v>0.9540000000000034</v>
      </c>
      <c r="AG7" s="170"/>
    </row>
    <row r="8" spans="1:33">
      <c r="A8" s="202" t="s">
        <v>1039</v>
      </c>
      <c r="B8" s="35" t="s">
        <v>78</v>
      </c>
      <c r="C8" s="197" t="s">
        <v>82</v>
      </c>
      <c r="D8" s="198"/>
      <c r="E8" s="35">
        <v>50.67</v>
      </c>
      <c r="F8" s="4">
        <v>401</v>
      </c>
      <c r="G8" s="4">
        <f t="shared" si="0"/>
        <v>20318.670000000002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1850.7692307692373</v>
      </c>
      <c r="N8" s="16">
        <f t="shared" si="3"/>
        <v>88.131868131868444</v>
      </c>
      <c r="O8" s="18">
        <f t="shared" si="4"/>
        <v>0</v>
      </c>
      <c r="P8" s="19">
        <f t="shared" si="5"/>
        <v>-7.1062271062267968</v>
      </c>
      <c r="Q8" s="20">
        <f t="shared" si="6"/>
        <v>0.92538461538461858</v>
      </c>
      <c r="R8" s="170"/>
      <c r="S8" s="27">
        <v>0.78888888888888886</v>
      </c>
      <c r="T8" s="27">
        <v>0.79791666666666661</v>
      </c>
      <c r="U8" s="4">
        <f t="shared" si="10"/>
        <v>4.9999999999999822</v>
      </c>
      <c r="V8" s="21">
        <f t="shared" si="7"/>
        <v>12.999999999999954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-149.23076923076269</v>
      </c>
      <c r="AF8" s="20">
        <f t="shared" si="9"/>
        <v>0.92538461538461869</v>
      </c>
      <c r="AG8" s="170"/>
    </row>
    <row r="9" spans="1:33">
      <c r="A9" s="202" t="s">
        <v>1039</v>
      </c>
      <c r="B9" s="35" t="s">
        <v>78</v>
      </c>
      <c r="C9" s="197" t="s">
        <v>91</v>
      </c>
      <c r="D9" s="198"/>
      <c r="E9" s="35">
        <v>50.67</v>
      </c>
      <c r="F9" s="4">
        <v>1792</v>
      </c>
      <c r="G9" s="4">
        <f t="shared" si="0"/>
        <v>90800.639999999999</v>
      </c>
      <c r="H9" s="21" t="s">
        <v>133</v>
      </c>
      <c r="I9" s="15">
        <v>15</v>
      </c>
      <c r="J9" s="17">
        <v>2000</v>
      </c>
      <c r="K9" s="16">
        <f t="shared" si="1"/>
        <v>133.33333333333334</v>
      </c>
      <c r="L9" s="15">
        <v>15</v>
      </c>
      <c r="M9" s="17">
        <f t="shared" si="2"/>
        <v>1920.0000000000014</v>
      </c>
      <c r="N9" s="16">
        <f t="shared" si="3"/>
        <v>128.00000000000009</v>
      </c>
      <c r="O9" s="18">
        <f t="shared" si="4"/>
        <v>0</v>
      </c>
      <c r="P9" s="19">
        <f t="shared" si="5"/>
        <v>-5.3333333333332575</v>
      </c>
      <c r="Q9" s="20">
        <f t="shared" si="6"/>
        <v>0.96000000000000052</v>
      </c>
      <c r="R9" s="170"/>
      <c r="S9" s="27">
        <v>0.8027777777777777</v>
      </c>
      <c r="T9" s="27">
        <v>0.84166666666666656</v>
      </c>
      <c r="U9" s="4">
        <f t="shared" si="10"/>
        <v>6.9999999999999751</v>
      </c>
      <c r="V9" s="21">
        <f t="shared" si="7"/>
        <v>55.999999999999957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-79.999999999998636</v>
      </c>
      <c r="AF9" s="20">
        <f t="shared" si="9"/>
        <v>0.96000000000000063</v>
      </c>
      <c r="AG9" s="170"/>
    </row>
    <row r="10" spans="1:33">
      <c r="A10" s="202" t="s">
        <v>1039</v>
      </c>
      <c r="B10" s="35" t="s">
        <v>1040</v>
      </c>
      <c r="C10" s="171"/>
      <c r="D10" s="171"/>
      <c r="E10" s="36"/>
      <c r="F10" s="16"/>
      <c r="G10" s="16"/>
      <c r="H10" s="4"/>
      <c r="I10" s="29">
        <v>17.600000000000001</v>
      </c>
      <c r="J10" s="17">
        <v>2000</v>
      </c>
      <c r="K10" s="16">
        <f t="shared" si="1"/>
        <v>113.63636363636363</v>
      </c>
      <c r="L10" s="29">
        <v>17.600000000000001</v>
      </c>
      <c r="M10" s="17">
        <f>AVERAGE(M5:M9)</f>
        <v>1906.1428621721557</v>
      </c>
      <c r="N10" s="16">
        <f t="shared" si="3"/>
        <v>108.30357171432702</v>
      </c>
      <c r="O10" s="18">
        <f t="shared" si="4"/>
        <v>0</v>
      </c>
      <c r="P10" s="19">
        <f t="shared" si="5"/>
        <v>-5.3327919220366056</v>
      </c>
      <c r="Q10" s="20">
        <f t="shared" si="6"/>
        <v>0.95307143108607784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f>SUM(AC5:AC9)</f>
        <v>5</v>
      </c>
      <c r="AD10" s="30">
        <f>SUM(AD5:AD9)</f>
        <v>0</v>
      </c>
      <c r="AE10" s="18">
        <f t="shared" si="8"/>
        <v>-93.857137827844326</v>
      </c>
      <c r="AF10" s="20">
        <f t="shared" si="9"/>
        <v>0.95307143108607784</v>
      </c>
      <c r="AG10" s="170"/>
    </row>
    <row r="11" spans="1:33" ht="15.75" customHeight="1">
      <c r="A11" s="196" t="s">
        <v>1041</v>
      </c>
      <c r="B11" s="35" t="s">
        <v>84</v>
      </c>
      <c r="C11" s="197" t="s">
        <v>85</v>
      </c>
      <c r="D11" s="198"/>
      <c r="E11" s="35">
        <v>39.619999999999997</v>
      </c>
      <c r="F11" s="4">
        <v>3370</v>
      </c>
      <c r="G11" s="4">
        <f t="shared" ref="G11:G12" si="11">E11*F11</f>
        <v>133519.4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1434.0425531914891</v>
      </c>
      <c r="N11" s="16">
        <f t="shared" si="3"/>
        <v>75.475923852183641</v>
      </c>
      <c r="O11" s="18">
        <f t="shared" si="4"/>
        <v>0</v>
      </c>
      <c r="P11" s="19">
        <f t="shared" si="5"/>
        <v>-3.4714445688689892</v>
      </c>
      <c r="Q11" s="20">
        <f t="shared" si="6"/>
        <v>0.95602836879432618</v>
      </c>
      <c r="R11" s="170">
        <f>Q13</f>
        <v>0.95606296488496822</v>
      </c>
      <c r="S11" s="27">
        <v>0.20833333333333334</v>
      </c>
      <c r="T11" s="27">
        <v>0.30625000000000002</v>
      </c>
      <c r="U11" s="4"/>
      <c r="V11" s="21">
        <f t="shared" ref="V11:V12" si="13">(T11-S11)*24*60</f>
        <v>141.00000000000003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-65.957446808510895</v>
      </c>
      <c r="AF11" s="20">
        <f t="shared" si="9"/>
        <v>0.95602836879432607</v>
      </c>
      <c r="AG11" s="170">
        <f>AF13</f>
        <v>0.95606296488496811</v>
      </c>
    </row>
    <row r="12" spans="1:33" ht="15.75" customHeight="1">
      <c r="A12" s="196" t="s">
        <v>49</v>
      </c>
      <c r="B12" s="35" t="s">
        <v>84</v>
      </c>
      <c r="C12" s="197" t="s">
        <v>86</v>
      </c>
      <c r="D12" s="198"/>
      <c r="E12" s="35">
        <v>39.799999999999997</v>
      </c>
      <c r="F12" s="4">
        <v>5880</v>
      </c>
      <c r="G12" s="4">
        <f t="shared" si="11"/>
        <v>234023.99999999997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1434.146341463415</v>
      </c>
      <c r="N12" s="16">
        <f t="shared" si="3"/>
        <v>84.361549497847932</v>
      </c>
      <c r="O12" s="18">
        <f t="shared" si="4"/>
        <v>0</v>
      </c>
      <c r="P12" s="19">
        <f t="shared" si="5"/>
        <v>-3.8737446197991261</v>
      </c>
      <c r="Q12" s="20">
        <f t="shared" si="6"/>
        <v>0.95609756097560994</v>
      </c>
      <c r="R12" s="170"/>
      <c r="S12" s="27">
        <v>0.31041666666666667</v>
      </c>
      <c r="T12" s="27">
        <v>0.48124999999999996</v>
      </c>
      <c r="U12" s="4">
        <f t="shared" ref="U12" si="14">IF(S12=TIME(17,0,0),"",(S12-T11)*24*60)</f>
        <v>5.9999999999999787</v>
      </c>
      <c r="V12" s="21">
        <f t="shared" si="13"/>
        <v>245.99999999999991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-65.853658536585044</v>
      </c>
      <c r="AF12" s="20">
        <f t="shared" si="9"/>
        <v>0.95609756097560994</v>
      </c>
      <c r="AG12" s="170"/>
    </row>
    <row r="13" spans="1:33" ht="16.5" customHeight="1">
      <c r="A13" s="196" t="s">
        <v>49</v>
      </c>
      <c r="B13" s="35" t="s">
        <v>48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1434.0944473274521</v>
      </c>
      <c r="N13" s="16">
        <f t="shared" si="3"/>
        <v>79.671913740414013</v>
      </c>
      <c r="O13" s="18">
        <f t="shared" si="4"/>
        <v>0</v>
      </c>
      <c r="P13" s="19">
        <f t="shared" si="5"/>
        <v>-3.6614195929193158</v>
      </c>
      <c r="Q13" s="20">
        <f t="shared" si="6"/>
        <v>0.95606296488496822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f>SUM(AC11:AC12)</f>
        <v>2</v>
      </c>
      <c r="AD13" s="30">
        <f>SUM(AD11:AD12)</f>
        <v>0</v>
      </c>
      <c r="AE13" s="18">
        <f t="shared" si="8"/>
        <v>-65.905552672547856</v>
      </c>
      <c r="AF13" s="20">
        <f t="shared" si="9"/>
        <v>0.95606296488496811</v>
      </c>
      <c r="AG13" s="170"/>
    </row>
    <row r="14" spans="1:33" ht="16.5" customHeight="1">
      <c r="A14" s="194" t="s">
        <v>50</v>
      </c>
      <c r="B14" s="4" t="s">
        <v>87</v>
      </c>
      <c r="C14" s="190" t="s">
        <v>88</v>
      </c>
      <c r="D14" s="190"/>
      <c r="E14" s="35">
        <v>41</v>
      </c>
      <c r="F14" s="4">
        <v>3401</v>
      </c>
      <c r="G14" s="4">
        <f t="shared" ref="G14:G17" si="15">E14*F14</f>
        <v>139441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1437.0422535211264</v>
      </c>
      <c r="N14" s="16">
        <f t="shared" si="3"/>
        <v>55.27085590465871</v>
      </c>
      <c r="O14" s="18">
        <f t="shared" si="4"/>
        <v>0</v>
      </c>
      <c r="P14" s="19">
        <f t="shared" si="5"/>
        <v>-2.4214517876489836</v>
      </c>
      <c r="Q14" s="20">
        <f t="shared" si="6"/>
        <v>0.95802816901408427</v>
      </c>
      <c r="R14" s="170">
        <f>Q18</f>
        <v>0.96507109926828305</v>
      </c>
      <c r="S14" s="27">
        <v>0.20833333333333334</v>
      </c>
      <c r="T14" s="27">
        <v>0.30694444444444446</v>
      </c>
      <c r="U14" s="4"/>
      <c r="V14" s="21">
        <f t="shared" ref="V14:V17" si="17">(T14-S14)*24*60</f>
        <v>142.00000000000003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-62.95774647887356</v>
      </c>
      <c r="AF14" s="20">
        <f t="shared" si="9"/>
        <v>0.95802816901408427</v>
      </c>
      <c r="AG14" s="170">
        <f>AF18</f>
        <v>0.96507109926828294</v>
      </c>
    </row>
    <row r="15" spans="1:33" ht="16.5" customHeight="1">
      <c r="A15" s="195" t="s">
        <v>1043</v>
      </c>
      <c r="B15" s="4" t="s">
        <v>78</v>
      </c>
      <c r="C15" s="190" t="s">
        <v>89</v>
      </c>
      <c r="D15" s="190"/>
      <c r="E15" s="35">
        <v>50.98</v>
      </c>
      <c r="F15" s="4">
        <v>2574</v>
      </c>
      <c r="G15" s="4">
        <f t="shared" si="15"/>
        <v>131222.51999999999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1906.6666666666661</v>
      </c>
      <c r="N15" s="16">
        <f t="shared" si="3"/>
        <v>119.16666666666663</v>
      </c>
      <c r="O15" s="18">
        <f t="shared" si="4"/>
        <v>0</v>
      </c>
      <c r="P15" s="19">
        <f t="shared" si="5"/>
        <v>-5.8333333333333712</v>
      </c>
      <c r="Q15" s="20">
        <f t="shared" si="6"/>
        <v>0.95333333333333303</v>
      </c>
      <c r="R15" s="170"/>
      <c r="S15" s="27">
        <v>0.70833333333333337</v>
      </c>
      <c r="T15" s="27">
        <v>0.76458333333333339</v>
      </c>
      <c r="U15" s="4" t="str">
        <f t="shared" ref="U15:U17" si="18">IF(S15=TIME(17,0,0),"",(S15-T14)*24*60)</f>
        <v/>
      </c>
      <c r="V15" s="21">
        <f t="shared" si="17"/>
        <v>81.000000000000028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-93.33333333333394</v>
      </c>
      <c r="AF15" s="20">
        <f t="shared" si="9"/>
        <v>0.95333333333333303</v>
      </c>
      <c r="AG15" s="170"/>
    </row>
    <row r="16" spans="1:33" ht="16.5" customHeight="1">
      <c r="A16" s="195" t="s">
        <v>1043</v>
      </c>
      <c r="B16" s="4" t="s">
        <v>78</v>
      </c>
      <c r="C16" s="190" t="s">
        <v>90</v>
      </c>
      <c r="D16" s="190"/>
      <c r="E16" s="35">
        <v>50.92</v>
      </c>
      <c r="F16" s="4">
        <v>2361</v>
      </c>
      <c r="G16" s="4">
        <f t="shared" si="15"/>
        <v>120222.12000000001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1914.324324324323</v>
      </c>
      <c r="N16" s="16">
        <f t="shared" si="3"/>
        <v>127.62162162162153</v>
      </c>
      <c r="O16" s="18">
        <f t="shared" si="4"/>
        <v>0</v>
      </c>
      <c r="P16" s="19">
        <f t="shared" si="5"/>
        <v>-5.7117117117118141</v>
      </c>
      <c r="Q16" s="20">
        <f t="shared" si="6"/>
        <v>0.95716216216216143</v>
      </c>
      <c r="R16" s="170"/>
      <c r="S16" s="27">
        <v>0.76875000000000004</v>
      </c>
      <c r="T16" s="27">
        <v>0.82013888888888897</v>
      </c>
      <c r="U16" s="4">
        <f t="shared" si="18"/>
        <v>5.9999999999999787</v>
      </c>
      <c r="V16" s="21">
        <f t="shared" si="17"/>
        <v>74.000000000000057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-85.675675675676985</v>
      </c>
      <c r="AF16" s="20">
        <f t="shared" si="9"/>
        <v>0.95716216216216154</v>
      </c>
      <c r="AG16" s="170"/>
    </row>
    <row r="17" spans="1:33" ht="16.5" customHeight="1">
      <c r="A17" s="195" t="s">
        <v>1043</v>
      </c>
      <c r="B17" s="4" t="s">
        <v>78</v>
      </c>
      <c r="C17" s="190" t="s">
        <v>83</v>
      </c>
      <c r="D17" s="190"/>
      <c r="E17" s="35">
        <v>50.67</v>
      </c>
      <c r="F17" s="4">
        <v>693</v>
      </c>
      <c r="G17" s="4">
        <f t="shared" si="15"/>
        <v>35114.31</v>
      </c>
      <c r="H17" s="21" t="s">
        <v>133</v>
      </c>
      <c r="I17" s="15">
        <v>16</v>
      </c>
      <c r="J17" s="17">
        <v>2000</v>
      </c>
      <c r="K17" s="16">
        <f t="shared" si="1"/>
        <v>125</v>
      </c>
      <c r="L17" s="15">
        <v>16</v>
      </c>
      <c r="M17" s="17">
        <f t="shared" si="16"/>
        <v>1980.0000000000068</v>
      </c>
      <c r="N17" s="16">
        <f t="shared" si="3"/>
        <v>123.75000000000043</v>
      </c>
      <c r="O17" s="18">
        <f t="shared" si="4"/>
        <v>0</v>
      </c>
      <c r="P17" s="19">
        <f t="shared" si="5"/>
        <v>-1.2499999999995737</v>
      </c>
      <c r="Q17" s="20">
        <f t="shared" si="6"/>
        <v>0.99000000000000343</v>
      </c>
      <c r="R17" s="170"/>
      <c r="S17" s="27">
        <v>0.82569444444444451</v>
      </c>
      <c r="T17" s="27">
        <v>0.84027777777777779</v>
      </c>
      <c r="U17" s="4">
        <f t="shared" si="18"/>
        <v>7.9999999999999716</v>
      </c>
      <c r="V17" s="21">
        <f t="shared" si="17"/>
        <v>20.999999999999925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-19.999999999993179</v>
      </c>
      <c r="AF17" s="20">
        <f t="shared" si="9"/>
        <v>0.99000000000000343</v>
      </c>
      <c r="AG17" s="170"/>
    </row>
    <row r="18" spans="1:33" ht="16.5" customHeight="1">
      <c r="A18" s="195" t="s">
        <v>50</v>
      </c>
      <c r="B18" s="35" t="s">
        <v>48</v>
      </c>
      <c r="C18" s="171"/>
      <c r="D18" s="171"/>
      <c r="E18" s="36"/>
      <c r="F18" s="16"/>
      <c r="G18" s="16"/>
      <c r="H18" s="4"/>
      <c r="I18" s="29">
        <v>18.25</v>
      </c>
      <c r="J18" s="17">
        <v>1875</v>
      </c>
      <c r="K18" s="16">
        <f t="shared" si="1"/>
        <v>102.73972602739725</v>
      </c>
      <c r="L18" s="29">
        <v>18.25</v>
      </c>
      <c r="M18" s="17">
        <f>AVERAGE(M14:M17)</f>
        <v>1809.5083111280305</v>
      </c>
      <c r="N18" s="16">
        <f t="shared" si="3"/>
        <v>99.1511403357825</v>
      </c>
      <c r="O18" s="18">
        <f t="shared" si="4"/>
        <v>0</v>
      </c>
      <c r="P18" s="19">
        <f t="shared" si="5"/>
        <v>-3.5885856916147532</v>
      </c>
      <c r="Q18" s="20">
        <f t="shared" si="6"/>
        <v>0.96507109926828305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f>SUM(AC14:AC17)</f>
        <v>4</v>
      </c>
      <c r="AD18" s="30">
        <f>SUM(AD14:AD17)</f>
        <v>0</v>
      </c>
      <c r="AE18" s="18">
        <f t="shared" si="8"/>
        <v>-65.491688871969473</v>
      </c>
      <c r="AF18" s="20">
        <f t="shared" si="9"/>
        <v>0.96507109926828294</v>
      </c>
      <c r="AG18" s="170"/>
    </row>
    <row r="19" spans="1:33" ht="15.75" customHeight="1">
      <c r="A19" s="192" t="s">
        <v>52</v>
      </c>
      <c r="B19" s="35" t="s">
        <v>78</v>
      </c>
      <c r="C19" s="190" t="s">
        <v>92</v>
      </c>
      <c r="D19" s="190"/>
      <c r="E19" s="35">
        <v>57.73</v>
      </c>
      <c r="F19" s="4">
        <v>2468</v>
      </c>
      <c r="G19" s="4">
        <f t="shared" ref="G19:G23" si="19">E19*F19</f>
        <v>142477.63999999998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3" si="20">F19/V19*60</f>
        <v>1923.1168831168832</v>
      </c>
      <c r="N19" s="16">
        <f t="shared" si="3"/>
        <v>137.36549165120593</v>
      </c>
      <c r="O19" s="18">
        <f t="shared" si="4"/>
        <v>0</v>
      </c>
      <c r="P19" s="19">
        <f t="shared" si="5"/>
        <v>-5.4916512059369325</v>
      </c>
      <c r="Q19" s="20">
        <f t="shared" si="6"/>
        <v>0.9615584415584415</v>
      </c>
      <c r="R19" s="170">
        <f>Q24</f>
        <v>0.95862309413145252</v>
      </c>
      <c r="S19" s="27">
        <v>0.20833333333333334</v>
      </c>
      <c r="T19" s="27">
        <v>0.26180555555555557</v>
      </c>
      <c r="U19" s="4"/>
      <c r="V19" s="21">
        <f t="shared" ref="V19:V23" si="21">(T19-S19)*24*60</f>
        <v>77</v>
      </c>
      <c r="W19" s="27"/>
      <c r="X19" s="27"/>
      <c r="Y19" s="27"/>
      <c r="Z19" s="27"/>
      <c r="AA19" s="162"/>
      <c r="AB19" s="162"/>
      <c r="AC19" s="24">
        <v>5</v>
      </c>
      <c r="AD19" s="24"/>
      <c r="AE19" s="18">
        <f t="shared" si="8"/>
        <v>-76.883116883116827</v>
      </c>
      <c r="AF19" s="20">
        <f t="shared" si="9"/>
        <v>0.96155844155844161</v>
      </c>
      <c r="AG19" s="170">
        <f>AF24</f>
        <v>0.95862309413145264</v>
      </c>
    </row>
    <row r="20" spans="1:33" ht="15.75" customHeight="1">
      <c r="A20" s="193" t="s">
        <v>52</v>
      </c>
      <c r="B20" s="35" t="s">
        <v>78</v>
      </c>
      <c r="C20" s="190" t="s">
        <v>93</v>
      </c>
      <c r="D20" s="190"/>
      <c r="E20" s="35">
        <v>53.68</v>
      </c>
      <c r="F20" s="4">
        <v>1402</v>
      </c>
      <c r="G20" s="4">
        <f t="shared" si="19"/>
        <v>75259.360000000001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1911.8181818181818</v>
      </c>
      <c r="N20" s="16">
        <f t="shared" si="3"/>
        <v>119.48863636363636</v>
      </c>
      <c r="O20" s="18">
        <f t="shared" si="4"/>
        <v>0</v>
      </c>
      <c r="P20" s="19">
        <f t="shared" si="5"/>
        <v>-5.5113636363636402</v>
      </c>
      <c r="Q20" s="20">
        <f t="shared" si="6"/>
        <v>0.95590909090909093</v>
      </c>
      <c r="R20" s="170"/>
      <c r="S20" s="27">
        <v>0.26527777777777778</v>
      </c>
      <c r="T20" s="27">
        <v>0.29583333333333334</v>
      </c>
      <c r="U20" s="4">
        <f t="shared" ref="U20:U23" si="22">IF(S20=TIME(17,0,0),"",(S20-T19)*24*60)</f>
        <v>4.9999999999999822</v>
      </c>
      <c r="V20" s="21">
        <f t="shared" si="21"/>
        <v>44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-88.181818181818244</v>
      </c>
      <c r="AF20" s="20">
        <f t="shared" si="9"/>
        <v>0.95590909090909093</v>
      </c>
      <c r="AG20" s="170"/>
    </row>
    <row r="21" spans="1:33" ht="15.75" customHeight="1">
      <c r="A21" s="193" t="s">
        <v>1044</v>
      </c>
      <c r="B21" s="35" t="s">
        <v>78</v>
      </c>
      <c r="C21" s="190" t="s">
        <v>94</v>
      </c>
      <c r="D21" s="190"/>
      <c r="E21" s="35">
        <v>50.49</v>
      </c>
      <c r="F21" s="4">
        <v>2131</v>
      </c>
      <c r="G21" s="4">
        <f t="shared" si="19"/>
        <v>107594.19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1908.3582089552215</v>
      </c>
      <c r="N21" s="16">
        <f t="shared" si="3"/>
        <v>127.22388059701477</v>
      </c>
      <c r="O21" s="18">
        <f t="shared" si="4"/>
        <v>0</v>
      </c>
      <c r="P21" s="19">
        <f t="shared" si="5"/>
        <v>-6.1094527363185733</v>
      </c>
      <c r="Q21" s="20">
        <f t="shared" si="6"/>
        <v>0.95417910447761067</v>
      </c>
      <c r="R21" s="170"/>
      <c r="S21" s="27">
        <v>0.70833333333333337</v>
      </c>
      <c r="T21" s="27">
        <v>0.7548611111111112</v>
      </c>
      <c r="U21" s="4" t="str">
        <f t="shared" si="22"/>
        <v/>
      </c>
      <c r="V21" s="21">
        <f t="shared" si="21"/>
        <v>67.000000000000085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-91.641791044778529</v>
      </c>
      <c r="AF21" s="20">
        <f t="shared" si="9"/>
        <v>0.95417910447761078</v>
      </c>
      <c r="AG21" s="170"/>
    </row>
    <row r="22" spans="1:33" ht="15.75" customHeight="1">
      <c r="A22" s="193" t="s">
        <v>1045</v>
      </c>
      <c r="B22" s="35" t="s">
        <v>78</v>
      </c>
      <c r="C22" s="190" t="s">
        <v>96</v>
      </c>
      <c r="D22" s="190"/>
      <c r="E22" s="35">
        <v>57.3</v>
      </c>
      <c r="F22" s="4">
        <v>1761</v>
      </c>
      <c r="G22" s="4">
        <f t="shared" si="19"/>
        <v>100905.29999999999</v>
      </c>
      <c r="H22" s="21" t="s">
        <v>133</v>
      </c>
      <c r="I22" s="15">
        <v>13</v>
      </c>
      <c r="J22" s="17">
        <v>2000</v>
      </c>
      <c r="K22" s="16">
        <f t="shared" si="1"/>
        <v>153.84615384615384</v>
      </c>
      <c r="L22" s="15">
        <v>13</v>
      </c>
      <c r="M22" s="17">
        <f t="shared" si="20"/>
        <v>1921.0909090909101</v>
      </c>
      <c r="N22" s="16">
        <f t="shared" si="3"/>
        <v>147.77622377622384</v>
      </c>
      <c r="O22" s="18">
        <f t="shared" si="4"/>
        <v>0</v>
      </c>
      <c r="P22" s="19">
        <f t="shared" si="5"/>
        <v>-6.0699300699299954</v>
      </c>
      <c r="Q22" s="20">
        <f t="shared" si="6"/>
        <v>0.96054545454545504</v>
      </c>
      <c r="R22" s="170"/>
      <c r="S22" s="27">
        <v>0.7597222222222223</v>
      </c>
      <c r="T22" s="27">
        <v>0.79791666666666672</v>
      </c>
      <c r="U22" s="4">
        <f t="shared" si="22"/>
        <v>6.9999999999999751</v>
      </c>
      <c r="V22" s="21">
        <f t="shared" si="21"/>
        <v>54.999999999999964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-78.909090909089855</v>
      </c>
      <c r="AF22" s="20">
        <f t="shared" si="9"/>
        <v>0.96054545454545504</v>
      </c>
      <c r="AG22" s="170"/>
    </row>
    <row r="23" spans="1:33" ht="15.75" customHeight="1">
      <c r="A23" s="193" t="s">
        <v>1046</v>
      </c>
      <c r="B23" s="35" t="s">
        <v>78</v>
      </c>
      <c r="C23" s="190" t="s">
        <v>95</v>
      </c>
      <c r="D23" s="190"/>
      <c r="E23" s="35">
        <v>53.68</v>
      </c>
      <c r="F23" s="4">
        <v>1707</v>
      </c>
      <c r="G23" s="4">
        <f t="shared" si="19"/>
        <v>91631.76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1442.5352112676042</v>
      </c>
      <c r="N23" s="16">
        <f t="shared" si="3"/>
        <v>90.15845070422526</v>
      </c>
      <c r="O23" s="18">
        <f t="shared" si="4"/>
        <v>0</v>
      </c>
      <c r="P23" s="19">
        <f t="shared" si="5"/>
        <v>-3.5915492957747404</v>
      </c>
      <c r="Q23" s="20">
        <f t="shared" si="6"/>
        <v>0.96169014084506943</v>
      </c>
      <c r="R23" s="170"/>
      <c r="S23" s="27">
        <v>0.80138888888888893</v>
      </c>
      <c r="T23" s="27">
        <v>0.85069444444444453</v>
      </c>
      <c r="U23" s="4">
        <f t="shared" si="22"/>
        <v>4.9999999999999822</v>
      </c>
      <c r="V23" s="21">
        <f t="shared" si="21"/>
        <v>71.000000000000071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-57.464788732395846</v>
      </c>
      <c r="AF23" s="20">
        <f t="shared" si="9"/>
        <v>0.96169014084506943</v>
      </c>
      <c r="AG23" s="170"/>
    </row>
    <row r="24" spans="1:33" ht="15.75" customHeight="1">
      <c r="A24" s="193" t="s">
        <v>52</v>
      </c>
      <c r="B24" s="35" t="s">
        <v>1047</v>
      </c>
      <c r="C24" s="171"/>
      <c r="D24" s="171"/>
      <c r="E24" s="36"/>
      <c r="F24" s="4"/>
      <c r="G24" s="4"/>
      <c r="H24" s="4"/>
      <c r="I24" s="29">
        <v>14.8</v>
      </c>
      <c r="J24" s="17">
        <v>1900</v>
      </c>
      <c r="K24" s="16">
        <f t="shared" si="1"/>
        <v>128.37837837837839</v>
      </c>
      <c r="L24" s="29">
        <v>14.8</v>
      </c>
      <c r="M24" s="17">
        <f>AVERAGE(M19:M23)</f>
        <v>1821.3838788497601</v>
      </c>
      <c r="N24" s="16">
        <f t="shared" si="3"/>
        <v>123.06647830065945</v>
      </c>
      <c r="O24" s="18">
        <f t="shared" si="4"/>
        <v>0</v>
      </c>
      <c r="P24" s="19">
        <f t="shared" si="5"/>
        <v>-5.3119000777189314</v>
      </c>
      <c r="Q24" s="20">
        <f t="shared" si="6"/>
        <v>0.95862309413145252</v>
      </c>
      <c r="R24" s="170"/>
      <c r="S24" s="27"/>
      <c r="T24" s="27"/>
      <c r="U24" s="16"/>
      <c r="V24" s="21"/>
      <c r="W24" s="16"/>
      <c r="X24" s="16"/>
      <c r="Y24" s="30">
        <f>SUM(Y19:Y23)</f>
        <v>0</v>
      </c>
      <c r="Z24" s="30">
        <f>SUM(Z19:Z23)</f>
        <v>0</v>
      </c>
      <c r="AA24" s="166"/>
      <c r="AB24" s="166"/>
      <c r="AC24" s="30">
        <f>SUM(AC19:AC23)</f>
        <v>5</v>
      </c>
      <c r="AD24" s="30">
        <f>SUM(AD19:AD23)</f>
        <v>0</v>
      </c>
      <c r="AE24" s="18">
        <f t="shared" si="8"/>
        <v>-78.616121150239906</v>
      </c>
      <c r="AF24" s="20">
        <f t="shared" si="9"/>
        <v>0.95862309413145264</v>
      </c>
      <c r="AG24" s="170"/>
    </row>
    <row r="25" spans="1:33" ht="15.75" customHeight="1">
      <c r="A25" s="191" t="s">
        <v>1048</v>
      </c>
      <c r="B25" s="35" t="s">
        <v>97</v>
      </c>
      <c r="C25" s="190" t="s">
        <v>98</v>
      </c>
      <c r="D25" s="190"/>
      <c r="E25" s="35">
        <v>31.29</v>
      </c>
      <c r="F25" s="4">
        <v>5700</v>
      </c>
      <c r="G25" s="4">
        <f t="shared" ref="G25:G32" si="23">E25*F25</f>
        <v>178353</v>
      </c>
      <c r="H25" s="21">
        <v>2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32" si="24">F25/V25*60</f>
        <v>2295.3020134228182</v>
      </c>
      <c r="N25" s="16">
        <f t="shared" si="3"/>
        <v>127.5167785234899</v>
      </c>
      <c r="O25" s="18">
        <f t="shared" si="4"/>
        <v>0</v>
      </c>
      <c r="P25" s="19">
        <f t="shared" si="5"/>
        <v>-5.8165548098434385</v>
      </c>
      <c r="Q25" s="20">
        <f t="shared" si="6"/>
        <v>0.95637583892617417</v>
      </c>
      <c r="R25" s="170">
        <f>Q33</f>
        <v>0.95839078436635583</v>
      </c>
      <c r="S25" s="27">
        <v>0.125</v>
      </c>
      <c r="T25" s="27">
        <v>0.22847222222222224</v>
      </c>
      <c r="U25" s="4"/>
      <c r="V25" s="21">
        <f t="shared" ref="V25:V32" si="25">(T25-S25)*24*60</f>
        <v>149.00000000000003</v>
      </c>
      <c r="W25" s="22">
        <f>T25</f>
        <v>0.22847222222222224</v>
      </c>
      <c r="X25" s="22">
        <f>S26</f>
        <v>0.24722222222222223</v>
      </c>
      <c r="Y25" s="22"/>
      <c r="Z25" s="22"/>
      <c r="AA25" s="162"/>
      <c r="AB25" s="162"/>
      <c r="AC25" s="24">
        <v>8</v>
      </c>
      <c r="AD25" s="24"/>
      <c r="AE25" s="18">
        <f t="shared" si="8"/>
        <v>-104.69798657718184</v>
      </c>
      <c r="AF25" s="20">
        <f t="shared" si="9"/>
        <v>0.95637583892617428</v>
      </c>
      <c r="AG25" s="170">
        <f>AF33</f>
        <v>0.95839078436635594</v>
      </c>
    </row>
    <row r="26" spans="1:33" ht="15.75" customHeight="1">
      <c r="A26" s="191" t="s">
        <v>54</v>
      </c>
      <c r="B26" s="35" t="s">
        <v>97</v>
      </c>
      <c r="C26" s="190" t="s">
        <v>99</v>
      </c>
      <c r="D26" s="190"/>
      <c r="E26" s="35">
        <v>25.98</v>
      </c>
      <c r="F26" s="4">
        <v>3078</v>
      </c>
      <c r="G26" s="4">
        <f t="shared" si="23"/>
        <v>79966.44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2308.4999999999991</v>
      </c>
      <c r="N26" s="16">
        <f t="shared" si="3"/>
        <v>109.92857142857139</v>
      </c>
      <c r="O26" s="18">
        <f t="shared" si="4"/>
        <v>0</v>
      </c>
      <c r="P26" s="19">
        <f t="shared" si="5"/>
        <v>-4.3571428571429038</v>
      </c>
      <c r="Q26" s="20">
        <f t="shared" si="6"/>
        <v>0.96187499999999959</v>
      </c>
      <c r="R26" s="170"/>
      <c r="S26" s="27">
        <v>0.24722222222222223</v>
      </c>
      <c r="T26" s="27">
        <v>0.30277777777777781</v>
      </c>
      <c r="U26" s="4">
        <f t="shared" ref="U26:U32" si="26">(S26-T25)*24*60</f>
        <v>26.999999999999986</v>
      </c>
      <c r="V26" s="21">
        <f t="shared" si="25"/>
        <v>80.000000000000028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-91.500000000000909</v>
      </c>
      <c r="AF26" s="20">
        <f t="shared" si="9"/>
        <v>0.96187499999999959</v>
      </c>
      <c r="AG26" s="170"/>
    </row>
    <row r="27" spans="1:33" ht="15.75" customHeight="1">
      <c r="A27" s="191" t="s">
        <v>54</v>
      </c>
      <c r="B27" s="35" t="s">
        <v>97</v>
      </c>
      <c r="C27" s="190" t="s">
        <v>100</v>
      </c>
      <c r="D27" s="190"/>
      <c r="E27" s="35">
        <v>26.2</v>
      </c>
      <c r="F27" s="4">
        <v>3000</v>
      </c>
      <c r="G27" s="4">
        <f t="shared" si="23"/>
        <v>78600</v>
      </c>
      <c r="H27" s="21">
        <v>2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2307.6923076923063</v>
      </c>
      <c r="N27" s="16">
        <f t="shared" si="3"/>
        <v>115.38461538461532</v>
      </c>
      <c r="O27" s="18">
        <f t="shared" si="4"/>
        <v>0</v>
      </c>
      <c r="P27" s="19">
        <f t="shared" si="5"/>
        <v>-4.6153846153846843</v>
      </c>
      <c r="Q27" s="20">
        <f t="shared" si="6"/>
        <v>0.96153846153846101</v>
      </c>
      <c r="R27" s="170"/>
      <c r="S27" s="27">
        <v>0.30625000000000002</v>
      </c>
      <c r="T27" s="27">
        <v>0.36041666666666672</v>
      </c>
      <c r="U27" s="4">
        <f t="shared" si="26"/>
        <v>4.9999999999999822</v>
      </c>
      <c r="V27" s="21">
        <f t="shared" si="25"/>
        <v>78.000000000000043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-92.307692307693742</v>
      </c>
      <c r="AF27" s="20">
        <f t="shared" si="9"/>
        <v>0.9615384615384609</v>
      </c>
      <c r="AG27" s="170"/>
    </row>
    <row r="28" spans="1:33" ht="15.75" customHeight="1">
      <c r="A28" s="191" t="s">
        <v>54</v>
      </c>
      <c r="B28" s="35" t="s">
        <v>97</v>
      </c>
      <c r="C28" s="190" t="s">
        <v>101</v>
      </c>
      <c r="D28" s="190"/>
      <c r="E28" s="35">
        <v>25.99</v>
      </c>
      <c r="F28" s="4">
        <v>2400</v>
      </c>
      <c r="G28" s="4">
        <f t="shared" si="23"/>
        <v>62375.999999999993</v>
      </c>
      <c r="H28" s="21">
        <v>2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2285.7142857142853</v>
      </c>
      <c r="N28" s="16">
        <f t="shared" si="3"/>
        <v>163.26530612244895</v>
      </c>
      <c r="O28" s="18">
        <f t="shared" si="4"/>
        <v>0</v>
      </c>
      <c r="P28" s="19">
        <f t="shared" si="5"/>
        <v>-8.1632653061224687</v>
      </c>
      <c r="Q28" s="20">
        <f t="shared" si="6"/>
        <v>0.95238095238095222</v>
      </c>
      <c r="R28" s="170"/>
      <c r="S28" s="27">
        <v>0.36458333333333337</v>
      </c>
      <c r="T28" s="27">
        <v>0.40833333333333338</v>
      </c>
      <c r="U28" s="4">
        <f t="shared" si="26"/>
        <v>5.9999999999999787</v>
      </c>
      <c r="V28" s="21">
        <f t="shared" si="25"/>
        <v>63.000000000000014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-114.28571428571468</v>
      </c>
      <c r="AF28" s="20">
        <f t="shared" si="9"/>
        <v>0.95238095238095222</v>
      </c>
      <c r="AG28" s="170"/>
    </row>
    <row r="29" spans="1:33" ht="15.75" customHeight="1">
      <c r="A29" s="191" t="s">
        <v>54</v>
      </c>
      <c r="B29" s="35" t="s">
        <v>97</v>
      </c>
      <c r="C29" s="190" t="s">
        <v>102</v>
      </c>
      <c r="D29" s="190"/>
      <c r="E29" s="35">
        <v>26.18</v>
      </c>
      <c r="F29" s="4">
        <v>1834</v>
      </c>
      <c r="G29" s="4">
        <f t="shared" si="23"/>
        <v>48014.12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2292.5000000000005</v>
      </c>
      <c r="N29" s="16">
        <f t="shared" si="3"/>
        <v>120.65789473684212</v>
      </c>
      <c r="O29" s="18">
        <f t="shared" si="4"/>
        <v>0</v>
      </c>
      <c r="P29" s="19">
        <f t="shared" si="5"/>
        <v>-5.6578947368420813</v>
      </c>
      <c r="Q29" s="20">
        <f t="shared" si="6"/>
        <v>0.95520833333333355</v>
      </c>
      <c r="R29" s="170"/>
      <c r="S29" s="27">
        <v>0.41388888888888892</v>
      </c>
      <c r="T29" s="27">
        <v>0.44722222222222224</v>
      </c>
      <c r="U29" s="4">
        <f t="shared" si="26"/>
        <v>7.9999999999999716</v>
      </c>
      <c r="V29" s="21">
        <f t="shared" si="25"/>
        <v>47.999999999999986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-107.49999999999955</v>
      </c>
      <c r="AF29" s="20">
        <f t="shared" si="9"/>
        <v>0.95520833333333355</v>
      </c>
      <c r="AG29" s="170"/>
    </row>
    <row r="30" spans="1:33" ht="15.75" customHeight="1">
      <c r="A30" s="191" t="s">
        <v>54</v>
      </c>
      <c r="B30" s="35" t="s">
        <v>97</v>
      </c>
      <c r="C30" s="190" t="s">
        <v>106</v>
      </c>
      <c r="D30" s="190"/>
      <c r="E30" s="35">
        <v>20.21</v>
      </c>
      <c r="F30" s="4">
        <v>2926</v>
      </c>
      <c r="G30" s="4">
        <f t="shared" si="23"/>
        <v>59134.46</v>
      </c>
      <c r="H30" s="21" t="s">
        <v>133</v>
      </c>
      <c r="I30" s="15">
        <v>15</v>
      </c>
      <c r="J30" s="17">
        <v>2400</v>
      </c>
      <c r="K30" s="16">
        <f t="shared" si="1"/>
        <v>160</v>
      </c>
      <c r="L30" s="15">
        <v>15</v>
      </c>
      <c r="M30" s="17">
        <f t="shared" si="24"/>
        <v>2310.0000000000009</v>
      </c>
      <c r="N30" s="16">
        <f t="shared" si="3"/>
        <v>154.00000000000006</v>
      </c>
      <c r="O30" s="18">
        <f t="shared" si="4"/>
        <v>0</v>
      </c>
      <c r="P30" s="19">
        <f t="shared" si="5"/>
        <v>-5.9999999999999432</v>
      </c>
      <c r="Q30" s="20">
        <f t="shared" si="6"/>
        <v>0.96250000000000036</v>
      </c>
      <c r="R30" s="170"/>
      <c r="S30" s="27">
        <v>0.4513888888888889</v>
      </c>
      <c r="T30" s="27">
        <v>0.50416666666666665</v>
      </c>
      <c r="U30" s="4">
        <f t="shared" si="26"/>
        <v>5.9999999999999787</v>
      </c>
      <c r="V30" s="21">
        <f t="shared" si="25"/>
        <v>75.999999999999972</v>
      </c>
      <c r="W30" s="22">
        <f>T30</f>
        <v>0.50416666666666665</v>
      </c>
      <c r="X30" s="22">
        <f>S31</f>
        <v>0.54513888888888884</v>
      </c>
      <c r="Y30" s="22"/>
      <c r="Z30" s="22"/>
      <c r="AA30" s="162"/>
      <c r="AB30" s="162"/>
      <c r="AC30" s="24"/>
      <c r="AD30" s="24"/>
      <c r="AE30" s="18">
        <f t="shared" si="8"/>
        <v>-89.999999999999091</v>
      </c>
      <c r="AF30" s="20">
        <f t="shared" si="9"/>
        <v>0.96250000000000036</v>
      </c>
      <c r="AG30" s="170"/>
    </row>
    <row r="31" spans="1:33" ht="15.75" customHeight="1">
      <c r="A31" s="191" t="s">
        <v>54</v>
      </c>
      <c r="B31" s="35" t="s">
        <v>97</v>
      </c>
      <c r="C31" s="190" t="s">
        <v>100</v>
      </c>
      <c r="D31" s="190"/>
      <c r="E31" s="35">
        <v>26.2</v>
      </c>
      <c r="F31" s="4">
        <v>2276</v>
      </c>
      <c r="G31" s="4">
        <f t="shared" si="23"/>
        <v>59631.199999999997</v>
      </c>
      <c r="H31" s="21" t="s">
        <v>133</v>
      </c>
      <c r="I31" s="15">
        <v>20</v>
      </c>
      <c r="J31" s="17">
        <v>2400</v>
      </c>
      <c r="K31" s="16">
        <f t="shared" si="1"/>
        <v>120</v>
      </c>
      <c r="L31" s="15">
        <v>20</v>
      </c>
      <c r="M31" s="17">
        <f t="shared" si="24"/>
        <v>2314.5762711864427</v>
      </c>
      <c r="N31" s="16">
        <f t="shared" si="3"/>
        <v>115.72881355932213</v>
      </c>
      <c r="O31" s="18">
        <f t="shared" si="4"/>
        <v>0</v>
      </c>
      <c r="P31" s="19">
        <f t="shared" si="5"/>
        <v>-4.2711864406778659</v>
      </c>
      <c r="Q31" s="20">
        <f t="shared" si="6"/>
        <v>0.96440677966101773</v>
      </c>
      <c r="R31" s="170"/>
      <c r="S31" s="27">
        <v>0.54513888888888884</v>
      </c>
      <c r="T31" s="27">
        <v>0.58611111111111103</v>
      </c>
      <c r="U31" s="4">
        <f t="shared" si="26"/>
        <v>58.99999999999995</v>
      </c>
      <c r="V31" s="21">
        <f t="shared" si="25"/>
        <v>58.99999999999995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-85.423728813557318</v>
      </c>
      <c r="AF31" s="20">
        <f t="shared" si="9"/>
        <v>0.96440677966101773</v>
      </c>
      <c r="AG31" s="170"/>
    </row>
    <row r="32" spans="1:33" ht="15.75" customHeight="1">
      <c r="A32" s="191" t="s">
        <v>54</v>
      </c>
      <c r="B32" s="35" t="s">
        <v>97</v>
      </c>
      <c r="C32" s="190" t="s">
        <v>101</v>
      </c>
      <c r="D32" s="190"/>
      <c r="E32" s="35">
        <v>25.99</v>
      </c>
      <c r="F32" s="4">
        <v>1677</v>
      </c>
      <c r="G32" s="4">
        <f t="shared" si="23"/>
        <v>43585.229999999996</v>
      </c>
      <c r="H32" s="21" t="s">
        <v>133</v>
      </c>
      <c r="I32" s="15">
        <v>14</v>
      </c>
      <c r="J32" s="17">
        <v>2400</v>
      </c>
      <c r="K32" s="16">
        <f t="shared" si="1"/>
        <v>171.42857142857142</v>
      </c>
      <c r="L32" s="15">
        <v>14</v>
      </c>
      <c r="M32" s="17">
        <f t="shared" si="24"/>
        <v>2286.818181818182</v>
      </c>
      <c r="N32" s="16">
        <f t="shared" si="3"/>
        <v>163.34415584415586</v>
      </c>
      <c r="O32" s="18">
        <f t="shared" si="4"/>
        <v>0</v>
      </c>
      <c r="P32" s="19">
        <f t="shared" si="5"/>
        <v>-8.0844155844155523</v>
      </c>
      <c r="Q32" s="20">
        <f t="shared" si="6"/>
        <v>0.95284090909090924</v>
      </c>
      <c r="R32" s="170"/>
      <c r="S32" s="27">
        <v>0.59027777777777768</v>
      </c>
      <c r="T32" s="27">
        <v>0.62083333333333324</v>
      </c>
      <c r="U32" s="4">
        <f t="shared" si="26"/>
        <v>5.9999999999999787</v>
      </c>
      <c r="V32" s="21">
        <f t="shared" si="25"/>
        <v>44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-113.18181818181802</v>
      </c>
      <c r="AF32" s="20">
        <f t="shared" si="9"/>
        <v>0.95284090909090913</v>
      </c>
      <c r="AG32" s="170"/>
    </row>
    <row r="33" spans="1:33" ht="15.75" customHeight="1">
      <c r="A33" s="191" t="s">
        <v>54</v>
      </c>
      <c r="B33" s="35" t="s">
        <v>1042</v>
      </c>
      <c r="C33" s="171"/>
      <c r="D33" s="171"/>
      <c r="E33" s="36"/>
      <c r="F33" s="4"/>
      <c r="G33" s="4"/>
      <c r="H33" s="4"/>
      <c r="I33" s="29">
        <v>17.625</v>
      </c>
      <c r="J33" s="17">
        <v>2400</v>
      </c>
      <c r="K33" s="16">
        <f t="shared" si="1"/>
        <v>136.17021276595744</v>
      </c>
      <c r="L33" s="29">
        <v>17.625</v>
      </c>
      <c r="M33" s="17">
        <f>AVERAGE(M25:M32)</f>
        <v>2300.1378824792541</v>
      </c>
      <c r="N33" s="16">
        <f t="shared" si="3"/>
        <v>130.50427702009952</v>
      </c>
      <c r="O33" s="18">
        <f t="shared" si="4"/>
        <v>0</v>
      </c>
      <c r="P33" s="19">
        <f t="shared" si="5"/>
        <v>-5.6659357458579223</v>
      </c>
      <c r="Q33" s="20">
        <f t="shared" si="6"/>
        <v>0.95839078436635583</v>
      </c>
      <c r="R33" s="170"/>
      <c r="S33" s="27"/>
      <c r="T33" s="27"/>
      <c r="U33" s="4"/>
      <c r="V33" s="21"/>
      <c r="W33" s="4"/>
      <c r="X33" s="4"/>
      <c r="Y33" s="30">
        <f>SUM(Y25:Y32)</f>
        <v>0</v>
      </c>
      <c r="Z33" s="30">
        <f>SUM(Z25:Z32)</f>
        <v>0</v>
      </c>
      <c r="AA33" s="166"/>
      <c r="AB33" s="166"/>
      <c r="AC33" s="30">
        <f>SUM(AC25:AC32)</f>
        <v>8</v>
      </c>
      <c r="AD33" s="30">
        <f>SUM(AD25:AD32)</f>
        <v>0</v>
      </c>
      <c r="AE33" s="18">
        <f t="shared" si="8"/>
        <v>-99.862117520745869</v>
      </c>
      <c r="AF33" s="20">
        <f t="shared" si="9"/>
        <v>0.95839078436635594</v>
      </c>
      <c r="AG33" s="170"/>
    </row>
    <row r="34" spans="1:33" ht="15.75" customHeight="1">
      <c r="A34" s="188" t="s">
        <v>1049</v>
      </c>
      <c r="B34" s="35" t="s">
        <v>97</v>
      </c>
      <c r="C34" s="163" t="s">
        <v>103</v>
      </c>
      <c r="D34" s="163"/>
      <c r="E34" s="35">
        <v>26.2</v>
      </c>
      <c r="F34" s="4">
        <v>4100</v>
      </c>
      <c r="G34" s="4">
        <f t="shared" ref="G34:G41" si="27">E34*F34</f>
        <v>107420</v>
      </c>
      <c r="H34" s="21">
        <v>2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ref="M34:M41" si="28">F34/V34*60</f>
        <v>2299.0654205607475</v>
      </c>
      <c r="N34" s="16">
        <f t="shared" si="3"/>
        <v>127.72585669781931</v>
      </c>
      <c r="O34" s="18">
        <f t="shared" si="4"/>
        <v>0</v>
      </c>
      <c r="P34" s="19">
        <f t="shared" si="5"/>
        <v>-5.6074766355140326</v>
      </c>
      <c r="Q34" s="20">
        <f t="shared" si="6"/>
        <v>0.9579439252336448</v>
      </c>
      <c r="R34" s="170">
        <f>Q42</f>
        <v>0.95600586424776801</v>
      </c>
      <c r="S34" s="27">
        <v>0.125</v>
      </c>
      <c r="T34" s="27">
        <v>0.19930555555555557</v>
      </c>
      <c r="U34" s="4"/>
      <c r="V34" s="21">
        <f t="shared" ref="V34:V41" si="29">(T34-S34)*24*60</f>
        <v>107.00000000000001</v>
      </c>
      <c r="W34" s="27">
        <f>T34</f>
        <v>0.19930555555555557</v>
      </c>
      <c r="X34" s="27">
        <f>S35</f>
        <v>0.21666666666666665</v>
      </c>
      <c r="Y34" s="27"/>
      <c r="Z34" s="27"/>
      <c r="AA34" s="162"/>
      <c r="AB34" s="162"/>
      <c r="AC34" s="24">
        <v>8</v>
      </c>
      <c r="AD34" s="24"/>
      <c r="AE34" s="18">
        <f t="shared" si="8"/>
        <v>-100.9345794392525</v>
      </c>
      <c r="AF34" s="20">
        <f t="shared" si="9"/>
        <v>0.9579439252336448</v>
      </c>
      <c r="AG34" s="170">
        <f>AF42</f>
        <v>0.95600586424776812</v>
      </c>
    </row>
    <row r="35" spans="1:33" ht="15.75" customHeight="1">
      <c r="A35" s="188" t="s">
        <v>60</v>
      </c>
      <c r="B35" s="35" t="s">
        <v>97</v>
      </c>
      <c r="C35" s="163" t="s">
        <v>104</v>
      </c>
      <c r="D35" s="163"/>
      <c r="E35" s="35">
        <v>20.52</v>
      </c>
      <c r="F35" s="4">
        <v>3842</v>
      </c>
      <c r="G35" s="4">
        <f t="shared" si="27"/>
        <v>78837.84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8"/>
        <v>2282.3762376237623</v>
      </c>
      <c r="N35" s="16">
        <f t="shared" si="3"/>
        <v>126.79867986798679</v>
      </c>
      <c r="O35" s="18">
        <f t="shared" si="4"/>
        <v>0</v>
      </c>
      <c r="P35" s="19">
        <f t="shared" si="5"/>
        <v>-6.5346534653465511</v>
      </c>
      <c r="Q35" s="20">
        <f t="shared" si="6"/>
        <v>0.95099009900990084</v>
      </c>
      <c r="R35" s="170"/>
      <c r="S35" s="27">
        <v>0.21666666666666665</v>
      </c>
      <c r="T35" s="27">
        <v>0.28680555555555554</v>
      </c>
      <c r="U35" s="4">
        <f t="shared" ref="U35:U41" si="30">(S35-T34)*24*60</f>
        <v>24.99999999999995</v>
      </c>
      <c r="V35" s="21">
        <f t="shared" si="29"/>
        <v>101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-117.62376237623766</v>
      </c>
      <c r="AF35" s="20">
        <f t="shared" si="9"/>
        <v>0.95099009900990095</v>
      </c>
      <c r="AG35" s="170"/>
    </row>
    <row r="36" spans="1:33">
      <c r="A36" s="189" t="s">
        <v>60</v>
      </c>
      <c r="B36" s="35" t="s">
        <v>97</v>
      </c>
      <c r="C36" s="163" t="s">
        <v>105</v>
      </c>
      <c r="D36" s="163"/>
      <c r="E36" s="35">
        <v>26.39</v>
      </c>
      <c r="F36" s="4">
        <v>3600</v>
      </c>
      <c r="G36" s="4">
        <f t="shared" si="27"/>
        <v>95004</v>
      </c>
      <c r="H36" s="21">
        <v>2</v>
      </c>
      <c r="I36" s="15">
        <v>19</v>
      </c>
      <c r="J36" s="17">
        <v>2400</v>
      </c>
      <c r="K36" s="16">
        <f t="shared" si="1"/>
        <v>126.31578947368421</v>
      </c>
      <c r="L36" s="15">
        <v>19</v>
      </c>
      <c r="M36" s="17">
        <f t="shared" si="28"/>
        <v>2297.872340425532</v>
      </c>
      <c r="N36" s="16">
        <f t="shared" si="3"/>
        <v>120.94064949608064</v>
      </c>
      <c r="O36" s="18">
        <f t="shared" si="4"/>
        <v>0</v>
      </c>
      <c r="P36" s="19">
        <f t="shared" si="5"/>
        <v>-5.3751399776035669</v>
      </c>
      <c r="Q36" s="20">
        <f t="shared" si="6"/>
        <v>0.95744680851063846</v>
      </c>
      <c r="R36" s="170"/>
      <c r="S36" s="27">
        <v>0.29166666666666663</v>
      </c>
      <c r="T36" s="27">
        <v>0.3569444444444444</v>
      </c>
      <c r="U36" s="4">
        <f t="shared" si="30"/>
        <v>6.9999999999999751</v>
      </c>
      <c r="V36" s="21">
        <f t="shared" si="29"/>
        <v>93.999999999999986</v>
      </c>
      <c r="W36" s="4"/>
      <c r="X36" s="4"/>
      <c r="Y36" s="4"/>
      <c r="Z36" s="4"/>
      <c r="AA36" s="162"/>
      <c r="AB36" s="162"/>
      <c r="AC36" s="24"/>
      <c r="AD36" s="24"/>
      <c r="AE36" s="18">
        <f t="shared" si="8"/>
        <v>-102.127659574468</v>
      </c>
      <c r="AF36" s="20">
        <f t="shared" si="9"/>
        <v>0.95744680851063835</v>
      </c>
      <c r="AG36" s="170"/>
    </row>
    <row r="37" spans="1:33">
      <c r="A37" s="189" t="s">
        <v>60</v>
      </c>
      <c r="B37" s="35" t="s">
        <v>97</v>
      </c>
      <c r="C37" s="163" t="s">
        <v>107</v>
      </c>
      <c r="D37" s="163"/>
      <c r="E37" s="35">
        <v>20.52</v>
      </c>
      <c r="F37" s="4">
        <v>2914</v>
      </c>
      <c r="G37" s="4">
        <f t="shared" si="27"/>
        <v>59795.28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2300.5263157894747</v>
      </c>
      <c r="N37" s="16">
        <f t="shared" si="3"/>
        <v>127.8070175438597</v>
      </c>
      <c r="O37" s="18">
        <f t="shared" si="4"/>
        <v>0</v>
      </c>
      <c r="P37" s="19">
        <f t="shared" si="5"/>
        <v>-5.5263157894736423</v>
      </c>
      <c r="Q37" s="20">
        <f t="shared" si="6"/>
        <v>0.95855263157894766</v>
      </c>
      <c r="R37" s="170"/>
      <c r="S37" s="27">
        <v>0.36111111111111105</v>
      </c>
      <c r="T37" s="27">
        <v>0.41388888888888881</v>
      </c>
      <c r="U37" s="4">
        <f t="shared" si="30"/>
        <v>5.9999999999999787</v>
      </c>
      <c r="V37" s="21">
        <f t="shared" si="29"/>
        <v>75.999999999999972</v>
      </c>
      <c r="W37" s="22"/>
      <c r="X37" s="22"/>
      <c r="Y37" s="22"/>
      <c r="Z37" s="22"/>
      <c r="AA37" s="162"/>
      <c r="AB37" s="162"/>
      <c r="AC37" s="24"/>
      <c r="AD37" s="24"/>
      <c r="AE37" s="18">
        <f t="shared" si="8"/>
        <v>-99.473684210525334</v>
      </c>
      <c r="AF37" s="20">
        <f t="shared" si="9"/>
        <v>0.95855263157894777</v>
      </c>
      <c r="AG37" s="170"/>
    </row>
    <row r="38" spans="1:33">
      <c r="A38" s="189" t="s">
        <v>60</v>
      </c>
      <c r="B38" s="35" t="s">
        <v>97</v>
      </c>
      <c r="C38" s="163" t="s">
        <v>304</v>
      </c>
      <c r="D38" s="163"/>
      <c r="E38" s="35">
        <v>22.69</v>
      </c>
      <c r="F38" s="4">
        <v>3800</v>
      </c>
      <c r="G38" s="4">
        <f t="shared" si="27"/>
        <v>86222</v>
      </c>
      <c r="H38" s="21">
        <v>2</v>
      </c>
      <c r="I38" s="15">
        <v>15</v>
      </c>
      <c r="J38" s="17">
        <v>2400</v>
      </c>
      <c r="K38" s="16">
        <f t="shared" si="1"/>
        <v>160</v>
      </c>
      <c r="L38" s="15">
        <v>15</v>
      </c>
      <c r="M38" s="17">
        <f t="shared" si="28"/>
        <v>2303.0303030303039</v>
      </c>
      <c r="N38" s="16">
        <f t="shared" si="3"/>
        <v>153.53535353535361</v>
      </c>
      <c r="O38" s="18">
        <f t="shared" si="4"/>
        <v>0</v>
      </c>
      <c r="P38" s="19">
        <f t="shared" si="5"/>
        <v>-6.4646464646463926</v>
      </c>
      <c r="Q38" s="20">
        <f t="shared" si="6"/>
        <v>0.95959595959596</v>
      </c>
      <c r="R38" s="170"/>
      <c r="S38" s="27">
        <v>0.41736111111111102</v>
      </c>
      <c r="T38" s="27">
        <v>0.48611111111111099</v>
      </c>
      <c r="U38" s="4">
        <f t="shared" si="30"/>
        <v>4.9999999999999822</v>
      </c>
      <c r="V38" s="21">
        <f t="shared" si="29"/>
        <v>98.999999999999972</v>
      </c>
      <c r="W38" s="22">
        <f>T38</f>
        <v>0.48611111111111099</v>
      </c>
      <c r="X38" s="22">
        <f>S39</f>
        <v>0.5249999999999998</v>
      </c>
      <c r="Y38" s="22"/>
      <c r="Z38" s="22"/>
      <c r="AA38" s="162"/>
      <c r="AB38" s="162"/>
      <c r="AC38" s="24"/>
      <c r="AD38" s="24"/>
      <c r="AE38" s="18">
        <f t="shared" si="8"/>
        <v>-96.969696969696088</v>
      </c>
      <c r="AF38" s="20">
        <f t="shared" si="9"/>
        <v>0.95959595959596</v>
      </c>
      <c r="AG38" s="170"/>
    </row>
    <row r="39" spans="1:33">
      <c r="A39" s="189" t="s">
        <v>60</v>
      </c>
      <c r="B39" s="35" t="s">
        <v>97</v>
      </c>
      <c r="C39" s="163" t="s">
        <v>105</v>
      </c>
      <c r="D39" s="163"/>
      <c r="E39" s="35">
        <v>26.39</v>
      </c>
      <c r="F39" s="4">
        <v>2221</v>
      </c>
      <c r="G39" s="4">
        <f t="shared" si="27"/>
        <v>58612.19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2297.5862068965534</v>
      </c>
      <c r="N39" s="16">
        <f t="shared" si="3"/>
        <v>120.92558983666071</v>
      </c>
      <c r="O39" s="18">
        <f t="shared" si="4"/>
        <v>0</v>
      </c>
      <c r="P39" s="19">
        <f t="shared" si="5"/>
        <v>-5.3901996370234997</v>
      </c>
      <c r="Q39" s="20">
        <f t="shared" si="6"/>
        <v>0.95732758620689729</v>
      </c>
      <c r="R39" s="170"/>
      <c r="S39" s="27">
        <v>0.5249999999999998</v>
      </c>
      <c r="T39" s="27">
        <v>0.56527777777777755</v>
      </c>
      <c r="U39" s="4">
        <f t="shared" si="30"/>
        <v>55.999999999999879</v>
      </c>
      <c r="V39" s="21">
        <f t="shared" si="29"/>
        <v>57.999999999999957</v>
      </c>
      <c r="W39" s="22"/>
      <c r="X39" s="22"/>
      <c r="Y39" s="22"/>
      <c r="Z39" s="22"/>
      <c r="AA39" s="162"/>
      <c r="AB39" s="162"/>
      <c r="AC39" s="24"/>
      <c r="AD39" s="24"/>
      <c r="AE39" s="18">
        <f t="shared" si="8"/>
        <v>-102.41379310344655</v>
      </c>
      <c r="AF39" s="20">
        <f t="shared" si="9"/>
        <v>0.95732758620689729</v>
      </c>
      <c r="AG39" s="170"/>
    </row>
    <row r="40" spans="1:33">
      <c r="A40" s="189" t="s">
        <v>1050</v>
      </c>
      <c r="B40" s="35" t="s">
        <v>97</v>
      </c>
      <c r="C40" s="163" t="s">
        <v>103</v>
      </c>
      <c r="D40" s="163"/>
      <c r="E40" s="35">
        <v>26.2</v>
      </c>
      <c r="F40" s="4">
        <v>2480</v>
      </c>
      <c r="G40" s="4">
        <f t="shared" si="27"/>
        <v>64976</v>
      </c>
      <c r="H40" s="21" t="s">
        <v>133</v>
      </c>
      <c r="I40" s="15">
        <v>18</v>
      </c>
      <c r="J40" s="17">
        <v>2400</v>
      </c>
      <c r="K40" s="16">
        <f t="shared" si="1"/>
        <v>133.33333333333334</v>
      </c>
      <c r="L40" s="15">
        <v>18</v>
      </c>
      <c r="M40" s="17">
        <f t="shared" si="28"/>
        <v>2289.2307692307718</v>
      </c>
      <c r="N40" s="16">
        <f t="shared" si="3"/>
        <v>127.17948717948732</v>
      </c>
      <c r="O40" s="18">
        <f t="shared" si="4"/>
        <v>0</v>
      </c>
      <c r="P40" s="19">
        <f t="shared" si="5"/>
        <v>-6.1538461538460183</v>
      </c>
      <c r="Q40" s="20">
        <f t="shared" si="6"/>
        <v>0.9538461538461549</v>
      </c>
      <c r="R40" s="170"/>
      <c r="S40" s="27">
        <v>0.56874999999999976</v>
      </c>
      <c r="T40" s="27">
        <v>0.6138888888888886</v>
      </c>
      <c r="U40" s="4">
        <f t="shared" si="30"/>
        <v>4.9999999999999822</v>
      </c>
      <c r="V40" s="21">
        <f t="shared" si="29"/>
        <v>64.999999999999929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-110.76923076922822</v>
      </c>
      <c r="AF40" s="20">
        <f t="shared" si="9"/>
        <v>0.9538461538461549</v>
      </c>
      <c r="AG40" s="170"/>
    </row>
    <row r="41" spans="1:33">
      <c r="A41" s="189" t="s">
        <v>60</v>
      </c>
      <c r="B41" s="35" t="s">
        <v>97</v>
      </c>
      <c r="C41" s="163" t="s">
        <v>304</v>
      </c>
      <c r="D41" s="163"/>
      <c r="E41" s="35">
        <v>22.69</v>
      </c>
      <c r="F41" s="4">
        <v>2438</v>
      </c>
      <c r="G41" s="4">
        <f t="shared" si="27"/>
        <v>55318.22</v>
      </c>
      <c r="H41" s="21" t="s">
        <v>133</v>
      </c>
      <c r="I41" s="15">
        <v>15</v>
      </c>
      <c r="J41" s="17">
        <v>2400</v>
      </c>
      <c r="K41" s="16">
        <f t="shared" si="1"/>
        <v>160</v>
      </c>
      <c r="L41" s="15">
        <v>15</v>
      </c>
      <c r="M41" s="17">
        <f t="shared" si="28"/>
        <v>2285.6250000000027</v>
      </c>
      <c r="N41" s="16">
        <f t="shared" si="3"/>
        <v>152.37500000000017</v>
      </c>
      <c r="O41" s="18">
        <f t="shared" si="4"/>
        <v>0</v>
      </c>
      <c r="P41" s="19">
        <f t="shared" si="5"/>
        <v>-7.6249999999998295</v>
      </c>
      <c r="Q41" s="20">
        <f t="shared" si="6"/>
        <v>0.95234375000000104</v>
      </c>
      <c r="R41" s="170"/>
      <c r="S41" s="27">
        <v>0.61805555555555525</v>
      </c>
      <c r="T41" s="27">
        <v>0.66249999999999964</v>
      </c>
      <c r="U41" s="4">
        <f t="shared" si="30"/>
        <v>5.9999999999999787</v>
      </c>
      <c r="V41" s="21">
        <f t="shared" si="29"/>
        <v>63.999999999999929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-114.37499999999727</v>
      </c>
      <c r="AF41" s="20">
        <f t="shared" si="9"/>
        <v>0.95234375000000115</v>
      </c>
      <c r="AG41" s="170"/>
    </row>
    <row r="42" spans="1:33">
      <c r="A42" s="189" t="s">
        <v>60</v>
      </c>
      <c r="B42" s="16" t="s">
        <v>48</v>
      </c>
      <c r="C42" s="171"/>
      <c r="D42" s="171"/>
      <c r="E42" s="36"/>
      <c r="F42" s="16"/>
      <c r="G42" s="16"/>
      <c r="H42" s="4"/>
      <c r="I42" s="29">
        <v>17.5</v>
      </c>
      <c r="J42" s="17">
        <v>2400</v>
      </c>
      <c r="K42" s="16">
        <f t="shared" si="1"/>
        <v>137.14285714285714</v>
      </c>
      <c r="L42" s="29">
        <v>17.5</v>
      </c>
      <c r="M42" s="17">
        <f>AVERAGE(M34:M41)</f>
        <v>2294.4140741946435</v>
      </c>
      <c r="N42" s="16">
        <f t="shared" si="3"/>
        <v>131.10937566826533</v>
      </c>
      <c r="O42" s="18">
        <f t="shared" si="4"/>
        <v>0</v>
      </c>
      <c r="P42" s="19">
        <f t="shared" si="5"/>
        <v>-6.0334814745918095</v>
      </c>
      <c r="Q42" s="20">
        <f t="shared" si="6"/>
        <v>0.95600586424776801</v>
      </c>
      <c r="R42" s="170"/>
      <c r="S42" s="27"/>
      <c r="T42" s="27"/>
      <c r="U42" s="16"/>
      <c r="V42" s="21"/>
      <c r="W42" s="16"/>
      <c r="X42" s="16"/>
      <c r="Y42" s="30">
        <f>SUM(Y34:Y41)</f>
        <v>0</v>
      </c>
      <c r="Z42" s="30">
        <f>SUM(Z34:Z41)</f>
        <v>0</v>
      </c>
      <c r="AA42" s="166"/>
      <c r="AB42" s="166"/>
      <c r="AC42" s="30">
        <f>SUM(AC34:AC41)</f>
        <v>8</v>
      </c>
      <c r="AD42" s="30">
        <f>SUM(AD34:AD41)</f>
        <v>0</v>
      </c>
      <c r="AE42" s="18">
        <f t="shared" si="8"/>
        <v>-105.58592580535651</v>
      </c>
      <c r="AF42" s="20">
        <f t="shared" si="9"/>
        <v>0.95600586424776812</v>
      </c>
      <c r="AG42" s="170"/>
    </row>
    <row r="43" spans="1:33" ht="15.75" customHeight="1">
      <c r="A43" s="182" t="s">
        <v>66</v>
      </c>
      <c r="B43" s="35" t="s">
        <v>108</v>
      </c>
      <c r="C43" s="174" t="s">
        <v>109</v>
      </c>
      <c r="D43" s="175"/>
      <c r="E43" s="35">
        <v>34.36</v>
      </c>
      <c r="F43" s="4">
        <v>2358</v>
      </c>
      <c r="G43" s="4">
        <f t="shared" ref="G43:G51" si="31">E43*F43</f>
        <v>81020.88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ref="M43:M51" si="32">F43/V43*60</f>
        <v>2887.3469387755113</v>
      </c>
      <c r="N43" s="17">
        <f t="shared" si="3"/>
        <v>288.73469387755114</v>
      </c>
      <c r="O43" s="18">
        <f t="shared" si="4"/>
        <v>0</v>
      </c>
      <c r="P43" s="19">
        <f t="shared" si="5"/>
        <v>-11.265306122448862</v>
      </c>
      <c r="Q43" s="20">
        <f t="shared" si="6"/>
        <v>0.96244897959183717</v>
      </c>
      <c r="R43" s="185">
        <f>Q52</f>
        <v>0.95762002013469461</v>
      </c>
      <c r="S43" s="27">
        <v>0.20833333333333334</v>
      </c>
      <c r="T43" s="27">
        <v>0.24236111111111111</v>
      </c>
      <c r="U43" s="27"/>
      <c r="V43" s="21">
        <f t="shared" ref="V43:V51" si="33">(T43-S43)*24*60</f>
        <v>48.999999999999986</v>
      </c>
      <c r="W43" s="22"/>
      <c r="X43" s="22"/>
      <c r="Y43" s="25"/>
      <c r="Z43" s="25"/>
      <c r="AA43" s="176"/>
      <c r="AB43" s="177"/>
      <c r="AC43" s="24">
        <v>9</v>
      </c>
      <c r="AD43" s="24"/>
      <c r="AE43" s="18">
        <f t="shared" si="8"/>
        <v>-112.65306122448874</v>
      </c>
      <c r="AF43" s="20">
        <f t="shared" si="9"/>
        <v>0.96244897959183706</v>
      </c>
      <c r="AG43" s="185">
        <f>AF52</f>
        <v>0.95762002013469461</v>
      </c>
    </row>
    <row r="44" spans="1:33" ht="15.75" customHeight="1">
      <c r="A44" s="183" t="s">
        <v>66</v>
      </c>
      <c r="B44" s="35" t="s">
        <v>108</v>
      </c>
      <c r="C44" s="174" t="s">
        <v>110</v>
      </c>
      <c r="D44" s="175"/>
      <c r="E44" s="35">
        <v>26.78</v>
      </c>
      <c r="F44" s="4">
        <v>2919</v>
      </c>
      <c r="G44" s="4">
        <f t="shared" si="31"/>
        <v>78170.820000000007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si="32"/>
        <v>2871.1475409836071</v>
      </c>
      <c r="N44" s="17">
        <f t="shared" si="3"/>
        <v>287.11475409836072</v>
      </c>
      <c r="O44" s="18">
        <f t="shared" si="4"/>
        <v>0</v>
      </c>
      <c r="P44" s="19">
        <f t="shared" si="5"/>
        <v>-12.88524590163928</v>
      </c>
      <c r="Q44" s="20">
        <f t="shared" si="6"/>
        <v>0.95704918032786912</v>
      </c>
      <c r="R44" s="186"/>
      <c r="S44" s="27">
        <v>0.24583333333333332</v>
      </c>
      <c r="T44" s="27">
        <v>0.28819444444444442</v>
      </c>
      <c r="U44" s="4">
        <f t="shared" ref="U44:U51" si="34">(S44-T43)*24*60</f>
        <v>4.9999999999999822</v>
      </c>
      <c r="V44" s="21">
        <f t="shared" si="33"/>
        <v>60.999999999999986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-128.85245901639291</v>
      </c>
      <c r="AF44" s="20">
        <f t="shared" si="9"/>
        <v>0.95704918032786901</v>
      </c>
      <c r="AG44" s="186"/>
    </row>
    <row r="45" spans="1:33" ht="15.75" customHeight="1">
      <c r="A45" s="183" t="s">
        <v>66</v>
      </c>
      <c r="B45" s="35" t="s">
        <v>108</v>
      </c>
      <c r="C45" s="174" t="s">
        <v>111</v>
      </c>
      <c r="D45" s="175"/>
      <c r="E45" s="35">
        <v>21.13</v>
      </c>
      <c r="F45" s="4">
        <v>3100</v>
      </c>
      <c r="G45" s="4">
        <f t="shared" si="31"/>
        <v>65503</v>
      </c>
      <c r="H45" s="21">
        <v>2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si="32"/>
        <v>2861.538461538461</v>
      </c>
      <c r="N45" s="17">
        <f t="shared" si="3"/>
        <v>286.15384615384608</v>
      </c>
      <c r="O45" s="18">
        <f t="shared" si="4"/>
        <v>0</v>
      </c>
      <c r="P45" s="19">
        <f t="shared" si="5"/>
        <v>-13.846153846153925</v>
      </c>
      <c r="Q45" s="20">
        <f t="shared" si="6"/>
        <v>0.95384615384615357</v>
      </c>
      <c r="R45" s="186"/>
      <c r="S45" s="27">
        <v>0.29374999999999996</v>
      </c>
      <c r="T45" s="27">
        <v>0.33888888888888885</v>
      </c>
      <c r="U45" s="4">
        <f t="shared" si="34"/>
        <v>7.9999999999999716</v>
      </c>
      <c r="V45" s="21">
        <f t="shared" si="33"/>
        <v>65.000000000000014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-138.46153846153902</v>
      </c>
      <c r="AF45" s="20">
        <f t="shared" si="9"/>
        <v>0.95384615384615368</v>
      </c>
      <c r="AG45" s="186"/>
    </row>
    <row r="46" spans="1:33" ht="15.75" customHeight="1">
      <c r="A46" s="183" t="s">
        <v>66</v>
      </c>
      <c r="B46" s="35" t="s">
        <v>108</v>
      </c>
      <c r="C46" s="174" t="s">
        <v>112</v>
      </c>
      <c r="D46" s="175"/>
      <c r="E46" s="35">
        <v>27.17</v>
      </c>
      <c r="F46" s="4">
        <v>4300</v>
      </c>
      <c r="G46" s="4">
        <f t="shared" si="31"/>
        <v>116831.00000000001</v>
      </c>
      <c r="H46" s="21">
        <v>2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2866.6666666666665</v>
      </c>
      <c r="N46" s="17">
        <f t="shared" si="3"/>
        <v>286.66666666666663</v>
      </c>
      <c r="O46" s="18">
        <f t="shared" si="4"/>
        <v>0</v>
      </c>
      <c r="P46" s="19">
        <f t="shared" si="5"/>
        <v>-13.333333333333371</v>
      </c>
      <c r="Q46" s="20">
        <f t="shared" si="6"/>
        <v>0.95555555555555538</v>
      </c>
      <c r="R46" s="186"/>
      <c r="S46" s="27">
        <v>0.34444444444444439</v>
      </c>
      <c r="T46" s="27">
        <v>0.40694444444444439</v>
      </c>
      <c r="U46" s="4">
        <f t="shared" si="34"/>
        <v>7.9999999999999716</v>
      </c>
      <c r="V46" s="21">
        <f t="shared" si="33"/>
        <v>90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-133.33333333333348</v>
      </c>
      <c r="AF46" s="20">
        <f t="shared" si="9"/>
        <v>0.95555555555555549</v>
      </c>
      <c r="AG46" s="186"/>
    </row>
    <row r="47" spans="1:33" ht="15.75" customHeight="1">
      <c r="A47" s="183" t="s">
        <v>1051</v>
      </c>
      <c r="B47" s="35" t="s">
        <v>108</v>
      </c>
      <c r="C47" s="174" t="s">
        <v>305</v>
      </c>
      <c r="D47" s="175"/>
      <c r="E47" s="35">
        <v>28.3</v>
      </c>
      <c r="F47" s="4">
        <v>3034</v>
      </c>
      <c r="G47" s="4">
        <f t="shared" si="31"/>
        <v>85862.2</v>
      </c>
      <c r="H47" s="21" t="s">
        <v>133</v>
      </c>
      <c r="I47" s="15">
        <v>8</v>
      </c>
      <c r="J47" s="17">
        <v>3000</v>
      </c>
      <c r="K47" s="16">
        <f t="shared" si="1"/>
        <v>375</v>
      </c>
      <c r="L47" s="15">
        <v>8</v>
      </c>
      <c r="M47" s="17">
        <f t="shared" si="32"/>
        <v>2889.5238095238092</v>
      </c>
      <c r="N47" s="17">
        <f t="shared" si="3"/>
        <v>361.19047619047615</v>
      </c>
      <c r="O47" s="18">
        <f t="shared" si="4"/>
        <v>0</v>
      </c>
      <c r="P47" s="19">
        <f t="shared" si="5"/>
        <v>-13.809523809523853</v>
      </c>
      <c r="Q47" s="20">
        <f t="shared" si="6"/>
        <v>0.96317460317460302</v>
      </c>
      <c r="R47" s="186"/>
      <c r="S47" s="27">
        <v>0.4104166666666666</v>
      </c>
      <c r="T47" s="27">
        <v>0.45416666666666661</v>
      </c>
      <c r="U47" s="4">
        <f t="shared" si="34"/>
        <v>4.9999999999999822</v>
      </c>
      <c r="V47" s="21">
        <f t="shared" si="33"/>
        <v>63.000000000000014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-110.47619047619082</v>
      </c>
      <c r="AF47" s="20">
        <f t="shared" si="9"/>
        <v>0.96317460317460302</v>
      </c>
      <c r="AG47" s="186"/>
    </row>
    <row r="48" spans="1:33" ht="15.75" customHeight="1">
      <c r="A48" s="183" t="s">
        <v>66</v>
      </c>
      <c r="B48" s="35" t="s">
        <v>108</v>
      </c>
      <c r="C48" s="174" t="s">
        <v>113</v>
      </c>
      <c r="D48" s="175"/>
      <c r="E48" s="35">
        <v>35.869999999999997</v>
      </c>
      <c r="F48" s="4">
        <v>2400</v>
      </c>
      <c r="G48" s="4">
        <f t="shared" si="31"/>
        <v>86088</v>
      </c>
      <c r="H48" s="21">
        <v>2</v>
      </c>
      <c r="I48" s="15">
        <v>9</v>
      </c>
      <c r="J48" s="17">
        <v>3000</v>
      </c>
      <c r="K48" s="16">
        <f t="shared" si="1"/>
        <v>333.33333333333331</v>
      </c>
      <c r="L48" s="15">
        <v>9</v>
      </c>
      <c r="M48" s="17">
        <f t="shared" si="32"/>
        <v>2880.0000000000009</v>
      </c>
      <c r="N48" s="17">
        <f t="shared" si="3"/>
        <v>320.00000000000011</v>
      </c>
      <c r="O48" s="18">
        <f t="shared" si="4"/>
        <v>0</v>
      </c>
      <c r="P48" s="19">
        <f t="shared" si="5"/>
        <v>-13.333333333333201</v>
      </c>
      <c r="Q48" s="20">
        <f t="shared" si="6"/>
        <v>0.96000000000000041</v>
      </c>
      <c r="R48" s="186"/>
      <c r="S48" s="27">
        <v>0.4590277777777777</v>
      </c>
      <c r="T48" s="27">
        <v>0.49374999999999991</v>
      </c>
      <c r="U48" s="4">
        <f t="shared" si="34"/>
        <v>6.9999999999999751</v>
      </c>
      <c r="V48" s="21">
        <f t="shared" si="33"/>
        <v>49.999999999999986</v>
      </c>
      <c r="W48" s="22">
        <f>T48</f>
        <v>0.49374999999999991</v>
      </c>
      <c r="X48" s="22">
        <f>S49</f>
        <v>0.5347222222222221</v>
      </c>
      <c r="Y48" s="25"/>
      <c r="Z48" s="25"/>
      <c r="AA48" s="176"/>
      <c r="AB48" s="177"/>
      <c r="AC48" s="24"/>
      <c r="AD48" s="24"/>
      <c r="AE48" s="18">
        <f t="shared" si="8"/>
        <v>-119.99999999999909</v>
      </c>
      <c r="AF48" s="20">
        <f t="shared" si="9"/>
        <v>0.9600000000000003</v>
      </c>
      <c r="AG48" s="186"/>
    </row>
    <row r="49" spans="1:33" ht="15.75" customHeight="1">
      <c r="A49" s="183" t="s">
        <v>66</v>
      </c>
      <c r="B49" s="35" t="s">
        <v>108</v>
      </c>
      <c r="C49" s="174" t="s">
        <v>111</v>
      </c>
      <c r="D49" s="175"/>
      <c r="E49" s="35">
        <v>21.13</v>
      </c>
      <c r="F49" s="4">
        <v>2566</v>
      </c>
      <c r="G49" s="4">
        <f t="shared" si="31"/>
        <v>54219.579999999994</v>
      </c>
      <c r="H49" s="21" t="s">
        <v>133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2851.1111111111122</v>
      </c>
      <c r="N49" s="17">
        <f t="shared" si="3"/>
        <v>285.1111111111112</v>
      </c>
      <c r="O49" s="18">
        <f t="shared" si="4"/>
        <v>0</v>
      </c>
      <c r="P49" s="19">
        <f t="shared" si="5"/>
        <v>-14.8888888888888</v>
      </c>
      <c r="Q49" s="20">
        <f t="shared" si="6"/>
        <v>0.95037037037037064</v>
      </c>
      <c r="R49" s="186"/>
      <c r="S49" s="27">
        <v>0.5347222222222221</v>
      </c>
      <c r="T49" s="27">
        <v>0.57222222222222208</v>
      </c>
      <c r="U49" s="4">
        <f t="shared" si="34"/>
        <v>58.99999999999995</v>
      </c>
      <c r="V49" s="21">
        <f t="shared" si="33"/>
        <v>53.999999999999972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-148.88888888888778</v>
      </c>
      <c r="AF49" s="20">
        <f t="shared" si="9"/>
        <v>0.95037037037037075</v>
      </c>
      <c r="AG49" s="186"/>
    </row>
    <row r="50" spans="1:33" ht="15.75" customHeight="1">
      <c r="A50" s="183" t="s">
        <v>66</v>
      </c>
      <c r="B50" s="35" t="s">
        <v>108</v>
      </c>
      <c r="C50" s="174" t="s">
        <v>112</v>
      </c>
      <c r="D50" s="175"/>
      <c r="E50" s="35">
        <v>27.17</v>
      </c>
      <c r="F50" s="4">
        <v>3642</v>
      </c>
      <c r="G50" s="4">
        <f t="shared" si="31"/>
        <v>98953.14</v>
      </c>
      <c r="H50" s="21" t="s">
        <v>133</v>
      </c>
      <c r="I50" s="15">
        <v>10</v>
      </c>
      <c r="J50" s="17">
        <v>3000</v>
      </c>
      <c r="K50" s="16">
        <f t="shared" si="1"/>
        <v>300</v>
      </c>
      <c r="L50" s="15">
        <v>10</v>
      </c>
      <c r="M50" s="17">
        <f t="shared" si="32"/>
        <v>2875.2631578947344</v>
      </c>
      <c r="N50" s="17">
        <f t="shared" si="3"/>
        <v>287.52631578947341</v>
      </c>
      <c r="O50" s="18">
        <f t="shared" si="4"/>
        <v>0</v>
      </c>
      <c r="P50" s="19">
        <f t="shared" si="5"/>
        <v>-12.473684210526585</v>
      </c>
      <c r="Q50" s="20">
        <f t="shared" si="6"/>
        <v>0.95842105263157806</v>
      </c>
      <c r="R50" s="186"/>
      <c r="S50" s="27">
        <v>0.57569444444444429</v>
      </c>
      <c r="T50" s="27">
        <v>0.6284722222222221</v>
      </c>
      <c r="U50" s="4">
        <f t="shared" si="34"/>
        <v>4.9999999999999822</v>
      </c>
      <c r="V50" s="21">
        <f t="shared" si="33"/>
        <v>76.000000000000057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-124.73684210526562</v>
      </c>
      <c r="AF50" s="20">
        <f t="shared" si="9"/>
        <v>0.95842105263157817</v>
      </c>
      <c r="AG50" s="186"/>
    </row>
    <row r="51" spans="1:33" ht="15.75" customHeight="1">
      <c r="A51" s="183" t="s">
        <v>66</v>
      </c>
      <c r="B51" s="35" t="s">
        <v>108</v>
      </c>
      <c r="C51" s="174" t="s">
        <v>113</v>
      </c>
      <c r="D51" s="175"/>
      <c r="E51" s="35">
        <v>35.869999999999997</v>
      </c>
      <c r="F51" s="4">
        <v>1676</v>
      </c>
      <c r="G51" s="4">
        <f t="shared" si="31"/>
        <v>60118.119999999995</v>
      </c>
      <c r="H51" s="21" t="s">
        <v>133</v>
      </c>
      <c r="I51" s="15">
        <v>9</v>
      </c>
      <c r="J51" s="17">
        <v>3000</v>
      </c>
      <c r="K51" s="16">
        <f t="shared" si="1"/>
        <v>333.33333333333331</v>
      </c>
      <c r="L51" s="15">
        <v>9</v>
      </c>
      <c r="M51" s="17">
        <f t="shared" si="32"/>
        <v>2873.1428571428542</v>
      </c>
      <c r="N51" s="17">
        <f t="shared" si="3"/>
        <v>319.2380952380949</v>
      </c>
      <c r="O51" s="18">
        <f t="shared" si="4"/>
        <v>0</v>
      </c>
      <c r="P51" s="19">
        <f t="shared" si="5"/>
        <v>-14.095238095238415</v>
      </c>
      <c r="Q51" s="20">
        <f t="shared" si="6"/>
        <v>0.95771428571428474</v>
      </c>
      <c r="R51" s="186"/>
      <c r="S51" s="27">
        <v>0.63333333333333319</v>
      </c>
      <c r="T51" s="27">
        <v>0.65763888888888877</v>
      </c>
      <c r="U51" s="4">
        <f t="shared" si="34"/>
        <v>6.9999999999999751</v>
      </c>
      <c r="V51" s="21">
        <f t="shared" si="33"/>
        <v>35.000000000000036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-126.85714285714585</v>
      </c>
      <c r="AF51" s="20">
        <f t="shared" si="9"/>
        <v>0.95771428571428474</v>
      </c>
      <c r="AG51" s="186"/>
    </row>
    <row r="52" spans="1:33" ht="15.75" customHeight="1">
      <c r="A52" s="184" t="s">
        <v>66</v>
      </c>
      <c r="B52" s="35" t="s">
        <v>48</v>
      </c>
      <c r="C52" s="164"/>
      <c r="D52" s="165"/>
      <c r="E52" s="37"/>
      <c r="F52" s="4"/>
      <c r="G52" s="4"/>
      <c r="H52" s="4"/>
      <c r="I52" s="29">
        <v>9.5555555555555554</v>
      </c>
      <c r="J52" s="17">
        <v>3000</v>
      </c>
      <c r="K52" s="16">
        <f t="shared" si="1"/>
        <v>313.95348837209303</v>
      </c>
      <c r="L52" s="29">
        <v>9.5555555555555554</v>
      </c>
      <c r="M52" s="17">
        <f>AVERAGE(M43:M51)</f>
        <v>2872.8600604040839</v>
      </c>
      <c r="N52" s="16">
        <f t="shared" si="3"/>
        <v>300.64814585624134</v>
      </c>
      <c r="O52" s="18">
        <f t="shared" si="4"/>
        <v>0</v>
      </c>
      <c r="P52" s="19">
        <f t="shared" si="5"/>
        <v>-13.305342515851692</v>
      </c>
      <c r="Q52" s="20">
        <f t="shared" si="6"/>
        <v>0.95762002013469461</v>
      </c>
      <c r="R52" s="187"/>
      <c r="S52" s="27"/>
      <c r="T52" s="27"/>
      <c r="U52" s="4"/>
      <c r="V52" s="21"/>
      <c r="W52" s="22"/>
      <c r="X52" s="22"/>
      <c r="Y52" s="30">
        <f>SUM(Y43:Y51)</f>
        <v>0</v>
      </c>
      <c r="Z52" s="30">
        <f>SUM(Z43:Z51)</f>
        <v>0</v>
      </c>
      <c r="AA52" s="180"/>
      <c r="AB52" s="181"/>
      <c r="AC52" s="30">
        <f>SUM(AC43:AC51)</f>
        <v>9</v>
      </c>
      <c r="AD52" s="30">
        <f>SUM(AD43:AD51)</f>
        <v>0</v>
      </c>
      <c r="AE52" s="18">
        <f t="shared" si="8"/>
        <v>-127.13993959591608</v>
      </c>
      <c r="AF52" s="20">
        <f t="shared" si="9"/>
        <v>0.95762002013469461</v>
      </c>
      <c r="AG52" s="187"/>
    </row>
    <row r="53" spans="1:33" ht="15.75" customHeight="1">
      <c r="A53" s="178" t="s">
        <v>72</v>
      </c>
      <c r="B53" s="35" t="s">
        <v>84</v>
      </c>
      <c r="C53" s="163" t="s">
        <v>114</v>
      </c>
      <c r="D53" s="163"/>
      <c r="E53" s="35">
        <v>46</v>
      </c>
      <c r="F53" s="38">
        <v>1679</v>
      </c>
      <c r="G53" s="4">
        <f t="shared" ref="G53:G60" si="35">E53*F53</f>
        <v>77234</v>
      </c>
      <c r="H53" s="21" t="s">
        <v>133</v>
      </c>
      <c r="I53" s="15">
        <v>17</v>
      </c>
      <c r="J53" s="17">
        <v>2000</v>
      </c>
      <c r="K53" s="16">
        <f t="shared" si="1"/>
        <v>117.64705882352941</v>
      </c>
      <c r="L53" s="15">
        <v>17</v>
      </c>
      <c r="M53" s="17">
        <f t="shared" ref="M53:M60" si="36">F53/V53*60</f>
        <v>1937.3076923076919</v>
      </c>
      <c r="N53" s="17">
        <f t="shared" si="3"/>
        <v>113.95927601809953</v>
      </c>
      <c r="O53" s="18">
        <f t="shared" si="4"/>
        <v>0</v>
      </c>
      <c r="P53" s="19">
        <f t="shared" si="5"/>
        <v>-3.687782805429876</v>
      </c>
      <c r="Q53" s="20">
        <f t="shared" si="6"/>
        <v>0.96865384615384609</v>
      </c>
      <c r="R53" s="170">
        <f>Q61</f>
        <v>0.94102883191196252</v>
      </c>
      <c r="S53" s="27">
        <v>0.20833333333333334</v>
      </c>
      <c r="T53" s="27">
        <v>0.24444444444444446</v>
      </c>
      <c r="U53" s="27"/>
      <c r="V53" s="21">
        <f t="shared" ref="V53:V60" si="37">(T53-S53)*24*60</f>
        <v>52.000000000000014</v>
      </c>
      <c r="W53" s="27"/>
      <c r="X53" s="27"/>
      <c r="Y53" s="27"/>
      <c r="Z53" s="27"/>
      <c r="AA53" s="162"/>
      <c r="AB53" s="162"/>
      <c r="AC53" s="24">
        <v>8</v>
      </c>
      <c r="AD53" s="24"/>
      <c r="AE53" s="18">
        <f t="shared" si="8"/>
        <v>-62.692307692308077</v>
      </c>
      <c r="AF53" s="20">
        <f t="shared" si="9"/>
        <v>0.96865384615384598</v>
      </c>
      <c r="AG53" s="170">
        <f>AF61</f>
        <v>0.94102883191196252</v>
      </c>
    </row>
    <row r="54" spans="1:33" ht="15.75" customHeight="1">
      <c r="A54" s="178" t="s">
        <v>72</v>
      </c>
      <c r="B54" s="35" t="s">
        <v>78</v>
      </c>
      <c r="C54" s="163" t="s">
        <v>115</v>
      </c>
      <c r="D54" s="163"/>
      <c r="E54" s="35">
        <v>56.43</v>
      </c>
      <c r="F54" s="38">
        <v>1702</v>
      </c>
      <c r="G54" s="4">
        <f t="shared" si="35"/>
        <v>96043.86</v>
      </c>
      <c r="H54" s="21" t="s">
        <v>133</v>
      </c>
      <c r="I54" s="15">
        <v>22</v>
      </c>
      <c r="J54" s="17">
        <v>2000</v>
      </c>
      <c r="K54" s="16">
        <f t="shared" si="1"/>
        <v>90.909090909090907</v>
      </c>
      <c r="L54" s="15">
        <v>22</v>
      </c>
      <c r="M54" s="17">
        <f t="shared" si="36"/>
        <v>1823.5714285714284</v>
      </c>
      <c r="N54" s="17">
        <f t="shared" si="3"/>
        <v>82.889610389610382</v>
      </c>
      <c r="O54" s="18">
        <f t="shared" si="4"/>
        <v>0</v>
      </c>
      <c r="P54" s="19">
        <f t="shared" si="5"/>
        <v>-8.0194805194805241</v>
      </c>
      <c r="Q54" s="20">
        <f t="shared" si="6"/>
        <v>0.9117857142857142</v>
      </c>
      <c r="R54" s="170"/>
      <c r="S54" s="27">
        <v>0.24861111111111114</v>
      </c>
      <c r="T54" s="27">
        <v>0.28750000000000003</v>
      </c>
      <c r="U54" s="4">
        <f t="shared" ref="U54:U60" si="38">IF(S54=TIME(17,0,0),"",(S54-T53)*24*60)</f>
        <v>6.0000000000000187</v>
      </c>
      <c r="V54" s="21">
        <f t="shared" si="37"/>
        <v>56</v>
      </c>
      <c r="W54" s="22"/>
      <c r="X54" s="22"/>
      <c r="Y54" s="22"/>
      <c r="Z54" s="22"/>
      <c r="AA54" s="162"/>
      <c r="AB54" s="162"/>
      <c r="AC54" s="24"/>
      <c r="AD54" s="24"/>
      <c r="AE54" s="18">
        <f t="shared" si="8"/>
        <v>-176.42857142857156</v>
      </c>
      <c r="AF54" s="20">
        <f t="shared" si="9"/>
        <v>0.9117857142857142</v>
      </c>
      <c r="AG54" s="170"/>
    </row>
    <row r="55" spans="1:33" ht="15.75" customHeight="1">
      <c r="A55" s="178" t="s">
        <v>72</v>
      </c>
      <c r="B55" s="35" t="s">
        <v>78</v>
      </c>
      <c r="C55" s="174" t="s">
        <v>116</v>
      </c>
      <c r="D55" s="175"/>
      <c r="E55" s="35">
        <v>51.75</v>
      </c>
      <c r="F55" s="38">
        <v>1269</v>
      </c>
      <c r="G55" s="4">
        <f t="shared" si="35"/>
        <v>65670.75</v>
      </c>
      <c r="H55" s="21" t="s">
        <v>133</v>
      </c>
      <c r="I55" s="15">
        <v>25</v>
      </c>
      <c r="J55" s="17">
        <v>2000</v>
      </c>
      <c r="K55" s="16">
        <f t="shared" si="1"/>
        <v>80</v>
      </c>
      <c r="L55" s="15">
        <v>25</v>
      </c>
      <c r="M55" s="17">
        <f t="shared" si="36"/>
        <v>1812.8571428571422</v>
      </c>
      <c r="N55" s="17">
        <f t="shared" si="3"/>
        <v>72.514285714285691</v>
      </c>
      <c r="O55" s="18">
        <f t="shared" si="4"/>
        <v>0</v>
      </c>
      <c r="P55" s="19">
        <f t="shared" si="5"/>
        <v>-7.4857142857143089</v>
      </c>
      <c r="Q55" s="20">
        <f t="shared" si="6"/>
        <v>0.90642857142857114</v>
      </c>
      <c r="R55" s="170"/>
      <c r="S55" s="27">
        <v>0.29166666666666669</v>
      </c>
      <c r="T55" s="27">
        <v>0.32083333333333336</v>
      </c>
      <c r="U55" s="4">
        <f t="shared" si="38"/>
        <v>5.9999999999999787</v>
      </c>
      <c r="V55" s="21">
        <f t="shared" si="37"/>
        <v>42.000000000000014</v>
      </c>
      <c r="W55" s="22"/>
      <c r="X55" s="22"/>
      <c r="Y55" s="25"/>
      <c r="Z55" s="25"/>
      <c r="AA55" s="162"/>
      <c r="AB55" s="162"/>
      <c r="AC55" s="24"/>
      <c r="AD55" s="24"/>
      <c r="AE55" s="18">
        <f t="shared" si="8"/>
        <v>-187.14285714285779</v>
      </c>
      <c r="AF55" s="20">
        <f t="shared" si="9"/>
        <v>0.90642857142857114</v>
      </c>
      <c r="AG55" s="170"/>
    </row>
    <row r="56" spans="1:33" ht="15.75" customHeight="1">
      <c r="A56" s="178" t="s">
        <v>1052</v>
      </c>
      <c r="B56" s="35" t="s">
        <v>78</v>
      </c>
      <c r="C56" s="39" t="s">
        <v>117</v>
      </c>
      <c r="D56" s="40"/>
      <c r="E56" s="35">
        <v>54.09</v>
      </c>
      <c r="F56" s="38">
        <v>1337</v>
      </c>
      <c r="G56" s="4">
        <f t="shared" si="35"/>
        <v>72318.33</v>
      </c>
      <c r="H56" s="21" t="s">
        <v>133</v>
      </c>
      <c r="I56" s="15">
        <v>19</v>
      </c>
      <c r="J56" s="17">
        <v>2000</v>
      </c>
      <c r="K56" s="16">
        <f t="shared" si="1"/>
        <v>105.26315789473684</v>
      </c>
      <c r="L56" s="15">
        <v>19</v>
      </c>
      <c r="M56" s="17">
        <f t="shared" si="36"/>
        <v>1823.1818181818182</v>
      </c>
      <c r="N56" s="17">
        <f t="shared" si="3"/>
        <v>95.956937799043061</v>
      </c>
      <c r="O56" s="18">
        <f t="shared" si="4"/>
        <v>0</v>
      </c>
      <c r="P56" s="19">
        <f t="shared" si="5"/>
        <v>-9.3062200956937744</v>
      </c>
      <c r="Q56" s="20">
        <f t="shared" si="6"/>
        <v>0.91159090909090912</v>
      </c>
      <c r="R56" s="170"/>
      <c r="S56" s="27">
        <v>0.3263888888888889</v>
      </c>
      <c r="T56" s="27">
        <v>0.35694444444444445</v>
      </c>
      <c r="U56" s="4">
        <f t="shared" si="38"/>
        <v>7.9999999999999716</v>
      </c>
      <c r="V56" s="21">
        <f t="shared" si="37"/>
        <v>44</v>
      </c>
      <c r="W56" s="22"/>
      <c r="X56" s="22"/>
      <c r="Y56" s="25"/>
      <c r="Z56" s="25"/>
      <c r="AA56" s="162"/>
      <c r="AB56" s="162"/>
      <c r="AC56" s="24"/>
      <c r="AD56" s="24"/>
      <c r="AE56" s="18">
        <f t="shared" si="8"/>
        <v>-176.81818181818176</v>
      </c>
      <c r="AF56" s="20">
        <f t="shared" si="9"/>
        <v>0.91159090909090912</v>
      </c>
      <c r="AG56" s="170"/>
    </row>
    <row r="57" spans="1:33" ht="15.75" customHeight="1">
      <c r="A57" s="178" t="s">
        <v>72</v>
      </c>
      <c r="B57" s="35" t="s">
        <v>78</v>
      </c>
      <c r="C57" s="39" t="s">
        <v>118</v>
      </c>
      <c r="D57" s="40"/>
      <c r="E57" s="35">
        <v>57.73</v>
      </c>
      <c r="F57" s="38">
        <v>1085</v>
      </c>
      <c r="G57" s="4">
        <f t="shared" si="35"/>
        <v>62637.049999999996</v>
      </c>
      <c r="H57" s="21" t="s">
        <v>133</v>
      </c>
      <c r="I57" s="15">
        <v>16</v>
      </c>
      <c r="J57" s="17">
        <v>1500</v>
      </c>
      <c r="K57" s="16">
        <f t="shared" si="1"/>
        <v>93.75</v>
      </c>
      <c r="L57" s="15">
        <v>16</v>
      </c>
      <c r="M57" s="17">
        <f t="shared" si="36"/>
        <v>1446.6666666666667</v>
      </c>
      <c r="N57" s="17">
        <f t="shared" si="3"/>
        <v>90.416666666666671</v>
      </c>
      <c r="O57" s="18">
        <f t="shared" si="4"/>
        <v>0</v>
      </c>
      <c r="P57" s="19">
        <f t="shared" si="5"/>
        <v>-3.3333333333333286</v>
      </c>
      <c r="Q57" s="20">
        <f t="shared" si="6"/>
        <v>0.96444444444444455</v>
      </c>
      <c r="R57" s="170"/>
      <c r="S57" s="27">
        <v>0.70833333333333337</v>
      </c>
      <c r="T57" s="27">
        <v>0.73958333333333337</v>
      </c>
      <c r="U57" s="4" t="str">
        <f t="shared" si="38"/>
        <v/>
      </c>
      <c r="V57" s="21">
        <f t="shared" si="37"/>
        <v>45</v>
      </c>
      <c r="W57" s="22"/>
      <c r="X57" s="22"/>
      <c r="Y57" s="25"/>
      <c r="Z57" s="25"/>
      <c r="AA57" s="162"/>
      <c r="AB57" s="162"/>
      <c r="AC57" s="24"/>
      <c r="AD57" s="24"/>
      <c r="AE57" s="18">
        <f t="shared" si="8"/>
        <v>-53.333333333333258</v>
      </c>
      <c r="AF57" s="20">
        <f t="shared" si="9"/>
        <v>0.96444444444444455</v>
      </c>
      <c r="AG57" s="170"/>
    </row>
    <row r="58" spans="1:33" ht="15.75" customHeight="1">
      <c r="A58" s="178" t="s">
        <v>1052</v>
      </c>
      <c r="B58" s="35" t="s">
        <v>78</v>
      </c>
      <c r="C58" s="174" t="s">
        <v>119</v>
      </c>
      <c r="D58" s="175"/>
      <c r="E58" s="35">
        <v>54.29</v>
      </c>
      <c r="F58" s="38">
        <v>1344</v>
      </c>
      <c r="G58" s="4">
        <f t="shared" si="35"/>
        <v>72965.759999999995</v>
      </c>
      <c r="H58" s="21" t="s">
        <v>133</v>
      </c>
      <c r="I58" s="15">
        <v>20</v>
      </c>
      <c r="J58" s="17">
        <v>2000</v>
      </c>
      <c r="K58" s="16">
        <f t="shared" si="1"/>
        <v>100</v>
      </c>
      <c r="L58" s="15">
        <v>20</v>
      </c>
      <c r="M58" s="17">
        <f t="shared" si="36"/>
        <v>1919.9999999999993</v>
      </c>
      <c r="N58" s="17">
        <f t="shared" si="3"/>
        <v>95.999999999999972</v>
      </c>
      <c r="O58" s="18">
        <f t="shared" si="4"/>
        <v>0</v>
      </c>
      <c r="P58" s="19">
        <f t="shared" si="5"/>
        <v>-4.0000000000000284</v>
      </c>
      <c r="Q58" s="20">
        <f t="shared" si="6"/>
        <v>0.95999999999999974</v>
      </c>
      <c r="R58" s="170"/>
      <c r="S58" s="27">
        <v>0.74305555555555558</v>
      </c>
      <c r="T58" s="27">
        <v>0.77222222222222225</v>
      </c>
      <c r="U58" s="4">
        <f t="shared" si="38"/>
        <v>4.9999999999999822</v>
      </c>
      <c r="V58" s="21">
        <f t="shared" si="37"/>
        <v>42.000000000000014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8"/>
        <v>-80.000000000000682</v>
      </c>
      <c r="AF58" s="20">
        <f t="shared" si="9"/>
        <v>0.95999999999999963</v>
      </c>
      <c r="AG58" s="170"/>
    </row>
    <row r="59" spans="1:33" ht="15.75" customHeight="1">
      <c r="A59" s="178" t="s">
        <v>72</v>
      </c>
      <c r="B59" s="35" t="s">
        <v>78</v>
      </c>
      <c r="C59" s="174" t="s">
        <v>120</v>
      </c>
      <c r="D59" s="175"/>
      <c r="E59" s="35">
        <v>55.56</v>
      </c>
      <c r="F59" s="38">
        <v>1941</v>
      </c>
      <c r="G59" s="4">
        <f t="shared" si="35"/>
        <v>107841.96</v>
      </c>
      <c r="H59" s="21" t="s">
        <v>133</v>
      </c>
      <c r="I59" s="15">
        <v>17</v>
      </c>
      <c r="J59" s="17">
        <v>2000</v>
      </c>
      <c r="K59" s="16">
        <f t="shared" si="1"/>
        <v>117.64705882352941</v>
      </c>
      <c r="L59" s="15">
        <v>17</v>
      </c>
      <c r="M59" s="17">
        <f t="shared" si="36"/>
        <v>1909.1803278688542</v>
      </c>
      <c r="N59" s="17">
        <f t="shared" si="3"/>
        <v>112.30472516875614</v>
      </c>
      <c r="O59" s="18">
        <f t="shared" si="4"/>
        <v>0</v>
      </c>
      <c r="P59" s="19">
        <f t="shared" si="5"/>
        <v>-5.3423336547732703</v>
      </c>
      <c r="Q59" s="20">
        <f t="shared" si="6"/>
        <v>0.95459016393442719</v>
      </c>
      <c r="R59" s="170"/>
      <c r="S59" s="27">
        <v>0.77777777777777779</v>
      </c>
      <c r="T59" s="27">
        <v>0.82013888888888886</v>
      </c>
      <c r="U59" s="4">
        <f t="shared" si="38"/>
        <v>7.9999999999999716</v>
      </c>
      <c r="V59" s="21">
        <f t="shared" si="37"/>
        <v>60.999999999999943</v>
      </c>
      <c r="W59" s="22"/>
      <c r="X59" s="22"/>
      <c r="Y59" s="25"/>
      <c r="Z59" s="25"/>
      <c r="AA59" s="176"/>
      <c r="AB59" s="177"/>
      <c r="AC59" s="24"/>
      <c r="AD59" s="24"/>
      <c r="AE59" s="18">
        <f t="shared" si="8"/>
        <v>-90.819672131145808</v>
      </c>
      <c r="AF59" s="20">
        <f t="shared" si="9"/>
        <v>0.95459016393442708</v>
      </c>
      <c r="AG59" s="170"/>
    </row>
    <row r="60" spans="1:33" ht="15.75" customHeight="1">
      <c r="A60" s="178" t="s">
        <v>72</v>
      </c>
      <c r="B60" s="35" t="s">
        <v>78</v>
      </c>
      <c r="C60" s="174" t="s">
        <v>121</v>
      </c>
      <c r="D60" s="175"/>
      <c r="E60" s="35">
        <v>55.32</v>
      </c>
      <c r="F60" s="38">
        <v>1403</v>
      </c>
      <c r="G60" s="4">
        <f t="shared" si="35"/>
        <v>77613.960000000006</v>
      </c>
      <c r="H60" s="21" t="s">
        <v>133</v>
      </c>
      <c r="I60" s="15">
        <v>15</v>
      </c>
      <c r="J60" s="17">
        <v>2000</v>
      </c>
      <c r="K60" s="16">
        <f t="shared" si="1"/>
        <v>133.33333333333334</v>
      </c>
      <c r="L60" s="15">
        <v>15</v>
      </c>
      <c r="M60" s="17">
        <f t="shared" si="36"/>
        <v>1913.1818181818182</v>
      </c>
      <c r="N60" s="17">
        <f t="shared" si="3"/>
        <v>127.54545454545455</v>
      </c>
      <c r="O60" s="18">
        <f t="shared" si="4"/>
        <v>0</v>
      </c>
      <c r="P60" s="19">
        <f t="shared" si="5"/>
        <v>-5.7878787878787961</v>
      </c>
      <c r="Q60" s="20">
        <f t="shared" si="6"/>
        <v>0.95659090909090905</v>
      </c>
      <c r="R60" s="170"/>
      <c r="S60" s="27">
        <v>0.82361111111111107</v>
      </c>
      <c r="T60" s="27">
        <v>0.85416666666666663</v>
      </c>
      <c r="U60" s="4">
        <f t="shared" si="38"/>
        <v>4.9999999999999822</v>
      </c>
      <c r="V60" s="21">
        <f t="shared" si="37"/>
        <v>44</v>
      </c>
      <c r="W60" s="22"/>
      <c r="X60" s="22"/>
      <c r="Y60" s="25"/>
      <c r="Z60" s="25"/>
      <c r="AA60" s="176"/>
      <c r="AB60" s="177"/>
      <c r="AC60" s="24"/>
      <c r="AD60" s="24"/>
      <c r="AE60" s="18">
        <f t="shared" si="8"/>
        <v>-86.818181818181756</v>
      </c>
      <c r="AF60" s="20">
        <f t="shared" si="9"/>
        <v>0.95659090909090916</v>
      </c>
      <c r="AG60" s="170"/>
    </row>
    <row r="61" spans="1:33">
      <c r="A61" s="179" t="s">
        <v>72</v>
      </c>
      <c r="B61" s="35" t="s">
        <v>1053</v>
      </c>
      <c r="C61" s="171"/>
      <c r="D61" s="171"/>
      <c r="E61" s="36"/>
      <c r="F61" s="16"/>
      <c r="G61" s="16"/>
      <c r="H61" s="4"/>
      <c r="I61" s="29">
        <v>18.875</v>
      </c>
      <c r="J61" s="17">
        <v>1937.5</v>
      </c>
      <c r="K61" s="16">
        <f t="shared" si="1"/>
        <v>102.64900662251655</v>
      </c>
      <c r="L61" s="29">
        <v>18.875</v>
      </c>
      <c r="M61" s="17">
        <f>AVERAGE(M53:M60)</f>
        <v>1823.2433618294274</v>
      </c>
      <c r="N61" s="16">
        <f t="shared" si="3"/>
        <v>96.595674798910053</v>
      </c>
      <c r="O61" s="18">
        <f t="shared" si="4"/>
        <v>0</v>
      </c>
      <c r="P61" s="19">
        <f t="shared" si="5"/>
        <v>-6.0533318236064986</v>
      </c>
      <c r="Q61" s="20">
        <f t="shared" si="6"/>
        <v>0.94102883191196252</v>
      </c>
      <c r="R61" s="170"/>
      <c r="S61" s="27"/>
      <c r="T61" s="27"/>
      <c r="U61" s="4"/>
      <c r="V61" s="21"/>
      <c r="W61" s="16"/>
      <c r="X61" s="16"/>
      <c r="Y61" s="30">
        <f>SUM(Y53:Y60)</f>
        <v>0</v>
      </c>
      <c r="Z61" s="30">
        <f>SUM(Z53:Z60)</f>
        <v>0</v>
      </c>
      <c r="AA61" s="166"/>
      <c r="AB61" s="166"/>
      <c r="AC61" s="30">
        <f>SUM(AC53:AC60)</f>
        <v>8</v>
      </c>
      <c r="AD61" s="30">
        <f>SUM(AD53:AD60)</f>
        <v>0</v>
      </c>
      <c r="AE61" s="18">
        <f>M61-J61</f>
        <v>-114.25663817057261</v>
      </c>
      <c r="AF61" s="20">
        <f t="shared" si="9"/>
        <v>0.94102883191196252</v>
      </c>
      <c r="AG61" s="170"/>
    </row>
    <row r="62" spans="1:33" ht="15.75" customHeight="1">
      <c r="A62" s="172" t="s">
        <v>297</v>
      </c>
      <c r="B62" s="4" t="s">
        <v>84</v>
      </c>
      <c r="C62" s="163" t="s">
        <v>122</v>
      </c>
      <c r="D62" s="163"/>
      <c r="E62" s="35">
        <v>26.97</v>
      </c>
      <c r="F62" s="38">
        <v>2490</v>
      </c>
      <c r="G62" s="4">
        <f t="shared" ref="G62:G65" si="39">E62*F62</f>
        <v>67155.3</v>
      </c>
      <c r="H62" s="21" t="s">
        <v>133</v>
      </c>
      <c r="I62" s="15">
        <v>8</v>
      </c>
      <c r="J62" s="17">
        <v>1500</v>
      </c>
      <c r="K62" s="16">
        <f t="shared" si="1"/>
        <v>187.5</v>
      </c>
      <c r="L62" s="15">
        <v>8</v>
      </c>
      <c r="M62" s="17">
        <f t="shared" ref="M62:M65" si="40">F62/V62*60</f>
        <v>1436.5384615384619</v>
      </c>
      <c r="N62" s="16">
        <f t="shared" si="3"/>
        <v>179.56730769230774</v>
      </c>
      <c r="O62" s="18">
        <f t="shared" si="4"/>
        <v>0</v>
      </c>
      <c r="P62" s="19">
        <f t="shared" si="5"/>
        <v>-7.932692307692264</v>
      </c>
      <c r="Q62" s="20">
        <f t="shared" si="6"/>
        <v>0.95769230769230795</v>
      </c>
      <c r="R62" s="170">
        <f>Q66</f>
        <v>0.95798744289765969</v>
      </c>
      <c r="S62" s="27">
        <v>0.20833333333333334</v>
      </c>
      <c r="T62" s="27">
        <v>0.28055555555555556</v>
      </c>
      <c r="U62" s="4"/>
      <c r="V62" s="21">
        <f t="shared" ref="V62:V65" si="41">(T62-S62)*24*60</f>
        <v>103.99999999999999</v>
      </c>
      <c r="W62" s="27"/>
      <c r="X62" s="27"/>
      <c r="Y62" s="27"/>
      <c r="Z62" s="27"/>
      <c r="AA62" s="162"/>
      <c r="AB62" s="162"/>
      <c r="AC62" s="24">
        <v>4</v>
      </c>
      <c r="AD62" s="24"/>
      <c r="AE62" s="18">
        <f t="shared" ref="AE62:AE73" si="42">M62-J62</f>
        <v>-63.461538461538112</v>
      </c>
      <c r="AF62" s="20">
        <f t="shared" si="9"/>
        <v>0.95769230769230795</v>
      </c>
      <c r="AG62" s="170">
        <f>AF66</f>
        <v>0.95798744289765969</v>
      </c>
    </row>
    <row r="63" spans="1:33" ht="15.75" customHeight="1">
      <c r="A63" s="172" t="s">
        <v>297</v>
      </c>
      <c r="B63" s="4" t="s">
        <v>108</v>
      </c>
      <c r="C63" s="163" t="s">
        <v>125</v>
      </c>
      <c r="D63" s="163"/>
      <c r="E63" s="35">
        <v>37.85</v>
      </c>
      <c r="F63" s="38">
        <v>1756</v>
      </c>
      <c r="G63" s="4">
        <f t="shared" si="39"/>
        <v>66464.600000000006</v>
      </c>
      <c r="H63" s="21" t="s">
        <v>133</v>
      </c>
      <c r="I63" s="15">
        <v>12</v>
      </c>
      <c r="J63" s="17">
        <v>2000</v>
      </c>
      <c r="K63" s="16">
        <f t="shared" si="1"/>
        <v>166.66666666666666</v>
      </c>
      <c r="L63" s="15">
        <v>12</v>
      </c>
      <c r="M63" s="17">
        <f t="shared" si="40"/>
        <v>1915.6363636363649</v>
      </c>
      <c r="N63" s="16">
        <f t="shared" si="3"/>
        <v>159.63636363636374</v>
      </c>
      <c r="O63" s="18">
        <f t="shared" si="4"/>
        <v>0</v>
      </c>
      <c r="P63" s="19">
        <f t="shared" si="5"/>
        <v>-7.0303030303029175</v>
      </c>
      <c r="Q63" s="20">
        <f t="shared" si="6"/>
        <v>0.95781818181818246</v>
      </c>
      <c r="R63" s="170"/>
      <c r="S63" s="27">
        <v>0.28472222222222221</v>
      </c>
      <c r="T63" s="27">
        <v>0.32291666666666663</v>
      </c>
      <c r="U63" s="4">
        <f t="shared" ref="U63:U65" si="43">(S63-T62)*24*60</f>
        <v>5.9999999999999787</v>
      </c>
      <c r="V63" s="21">
        <f t="shared" si="41"/>
        <v>54.999999999999964</v>
      </c>
      <c r="W63" s="4"/>
      <c r="X63" s="4"/>
      <c r="Y63" s="4"/>
      <c r="Z63" s="4"/>
      <c r="AA63" s="162"/>
      <c r="AB63" s="162"/>
      <c r="AC63" s="24"/>
      <c r="AD63" s="24"/>
      <c r="AE63" s="18">
        <f t="shared" si="42"/>
        <v>-84.363636363635123</v>
      </c>
      <c r="AF63" s="20">
        <f t="shared" si="9"/>
        <v>0.95781818181818246</v>
      </c>
      <c r="AG63" s="170"/>
    </row>
    <row r="64" spans="1:33" ht="15.75" customHeight="1">
      <c r="A64" s="172" t="s">
        <v>1054</v>
      </c>
      <c r="B64" s="4" t="s">
        <v>108</v>
      </c>
      <c r="C64" s="163" t="s">
        <v>126</v>
      </c>
      <c r="D64" s="163"/>
      <c r="E64" s="35">
        <v>34.36</v>
      </c>
      <c r="F64" s="38">
        <v>1921</v>
      </c>
      <c r="G64" s="4">
        <f t="shared" si="39"/>
        <v>66005.56</v>
      </c>
      <c r="H64" s="21" t="s">
        <v>133</v>
      </c>
      <c r="I64" s="15">
        <v>10</v>
      </c>
      <c r="J64" s="17">
        <v>3000</v>
      </c>
      <c r="K64" s="16">
        <f t="shared" si="1"/>
        <v>300</v>
      </c>
      <c r="L64" s="15">
        <v>10</v>
      </c>
      <c r="M64" s="17">
        <f t="shared" si="40"/>
        <v>2881.4999999999991</v>
      </c>
      <c r="N64" s="16">
        <f t="shared" si="3"/>
        <v>288.14999999999992</v>
      </c>
      <c r="O64" s="18">
        <f t="shared" si="4"/>
        <v>0</v>
      </c>
      <c r="P64" s="19">
        <f t="shared" si="5"/>
        <v>-11.85000000000008</v>
      </c>
      <c r="Q64" s="20">
        <f t="shared" si="6"/>
        <v>0.96049999999999969</v>
      </c>
      <c r="R64" s="170"/>
      <c r="S64" s="27">
        <v>0.32847222222222217</v>
      </c>
      <c r="T64" s="27">
        <v>0.35624999999999996</v>
      </c>
      <c r="U64" s="4">
        <f t="shared" si="43"/>
        <v>7.9999999999999716</v>
      </c>
      <c r="V64" s="21">
        <f t="shared" si="41"/>
        <v>40.000000000000014</v>
      </c>
      <c r="W64" s="4"/>
      <c r="X64" s="4"/>
      <c r="Y64" s="4"/>
      <c r="Z64" s="4"/>
      <c r="AA64" s="162"/>
      <c r="AB64" s="162"/>
      <c r="AC64" s="24"/>
      <c r="AD64" s="24"/>
      <c r="AE64" s="18">
        <f t="shared" si="42"/>
        <v>-118.50000000000091</v>
      </c>
      <c r="AF64" s="20">
        <f t="shared" si="9"/>
        <v>0.96049999999999969</v>
      </c>
      <c r="AG64" s="170"/>
    </row>
    <row r="65" spans="1:33" ht="15.75" customHeight="1">
      <c r="A65" s="172" t="s">
        <v>1055</v>
      </c>
      <c r="B65" s="4" t="s">
        <v>108</v>
      </c>
      <c r="C65" s="163" t="s">
        <v>127</v>
      </c>
      <c r="D65" s="163"/>
      <c r="E65" s="35">
        <v>35.119999999999997</v>
      </c>
      <c r="F65" s="38">
        <v>6499</v>
      </c>
      <c r="G65" s="4">
        <f t="shared" si="39"/>
        <v>228244.87999999998</v>
      </c>
      <c r="H65" s="21" t="s">
        <v>133</v>
      </c>
      <c r="I65" s="15">
        <v>10</v>
      </c>
      <c r="J65" s="17">
        <v>3000</v>
      </c>
      <c r="K65" s="16">
        <f t="shared" si="1"/>
        <v>300</v>
      </c>
      <c r="L65" s="15">
        <v>10</v>
      </c>
      <c r="M65" s="17">
        <f t="shared" si="40"/>
        <v>2867.2058823529414</v>
      </c>
      <c r="N65" s="16">
        <f t="shared" si="3"/>
        <v>286.72058823529414</v>
      </c>
      <c r="O65" s="18">
        <f t="shared" si="4"/>
        <v>0</v>
      </c>
      <c r="P65" s="19">
        <f t="shared" si="5"/>
        <v>-13.279411764705856</v>
      </c>
      <c r="Q65" s="20">
        <f t="shared" si="6"/>
        <v>0.95573529411764713</v>
      </c>
      <c r="R65" s="170"/>
      <c r="S65" s="27">
        <v>0.36041666666666661</v>
      </c>
      <c r="T65" s="27">
        <v>0.45486111111111105</v>
      </c>
      <c r="U65" s="4">
        <f t="shared" si="43"/>
        <v>5.9999999999999787</v>
      </c>
      <c r="V65" s="21">
        <f t="shared" si="41"/>
        <v>136</v>
      </c>
      <c r="W65" s="4"/>
      <c r="X65" s="4"/>
      <c r="Y65" s="4"/>
      <c r="Z65" s="4"/>
      <c r="AA65" s="162"/>
      <c r="AB65" s="162"/>
      <c r="AC65" s="24"/>
      <c r="AD65" s="24"/>
      <c r="AE65" s="18">
        <f t="shared" si="42"/>
        <v>-132.79411764705856</v>
      </c>
      <c r="AF65" s="20">
        <f t="shared" si="9"/>
        <v>0.95573529411764713</v>
      </c>
      <c r="AG65" s="170"/>
    </row>
    <row r="66" spans="1:33">
      <c r="A66" s="173" t="s">
        <v>297</v>
      </c>
      <c r="B66" s="35" t="s">
        <v>1056</v>
      </c>
      <c r="C66" s="171"/>
      <c r="D66" s="171"/>
      <c r="E66" s="36"/>
      <c r="F66" s="16"/>
      <c r="G66" s="16"/>
      <c r="H66" s="4"/>
      <c r="I66" s="29">
        <v>10</v>
      </c>
      <c r="J66" s="17">
        <v>2375</v>
      </c>
      <c r="K66" s="16">
        <f t="shared" si="1"/>
        <v>237.5</v>
      </c>
      <c r="L66" s="29">
        <v>10</v>
      </c>
      <c r="M66" s="17">
        <f>AVERAGE(M62:M65)</f>
        <v>2275.2201768819418</v>
      </c>
      <c r="N66" s="16">
        <f t="shared" si="3"/>
        <v>227.52201768819418</v>
      </c>
      <c r="O66" s="18">
        <f t="shared" si="4"/>
        <v>0</v>
      </c>
      <c r="P66" s="19">
        <f t="shared" si="5"/>
        <v>-9.9779823118058175</v>
      </c>
      <c r="Q66" s="20">
        <f t="shared" si="6"/>
        <v>0.95798744289765969</v>
      </c>
      <c r="R66" s="170"/>
      <c r="S66" s="27"/>
      <c r="T66" s="27"/>
      <c r="U66" s="16"/>
      <c r="V66" s="21"/>
      <c r="W66" s="16"/>
      <c r="X66" s="16"/>
      <c r="Y66" s="30">
        <f>SUM(Y62:Y65)</f>
        <v>0</v>
      </c>
      <c r="Z66" s="30">
        <f>SUM(Z62:Z65)</f>
        <v>0</v>
      </c>
      <c r="AA66" s="166"/>
      <c r="AB66" s="166"/>
      <c r="AC66" s="30">
        <f>SUM(AC62:AC65)</f>
        <v>4</v>
      </c>
      <c r="AD66" s="30">
        <f>SUM(AD62:AD65)</f>
        <v>0</v>
      </c>
      <c r="AE66" s="18">
        <f t="shared" si="42"/>
        <v>-99.779823118058175</v>
      </c>
      <c r="AF66" s="20">
        <f t="shared" si="9"/>
        <v>0.95798744289765969</v>
      </c>
      <c r="AG66" s="170"/>
    </row>
    <row r="67" spans="1:33" ht="15.75" customHeight="1">
      <c r="A67" s="167" t="s">
        <v>76</v>
      </c>
      <c r="B67" s="4" t="s">
        <v>97</v>
      </c>
      <c r="C67" s="163" t="s">
        <v>128</v>
      </c>
      <c r="D67" s="163"/>
      <c r="E67" s="35">
        <v>20.2</v>
      </c>
      <c r="F67" s="4">
        <v>2209</v>
      </c>
      <c r="G67" s="4">
        <f t="shared" ref="G67:G72" si="44">E67*F67</f>
        <v>44621.799999999996</v>
      </c>
      <c r="H67" s="21" t="s">
        <v>133</v>
      </c>
      <c r="I67" s="15">
        <v>15</v>
      </c>
      <c r="J67" s="17">
        <v>2400</v>
      </c>
      <c r="K67" s="16">
        <f t="shared" si="1"/>
        <v>160</v>
      </c>
      <c r="L67" s="15">
        <v>15</v>
      </c>
      <c r="M67" s="17">
        <f t="shared" ref="M67:M72" si="45">F67/V67*60</f>
        <v>2285.1724137931037</v>
      </c>
      <c r="N67" s="16">
        <f t="shared" si="3"/>
        <v>152.34482758620692</v>
      </c>
      <c r="O67" s="18">
        <f t="shared" si="4"/>
        <v>0</v>
      </c>
      <c r="P67" s="19">
        <f t="shared" si="5"/>
        <v>-7.6551724137930819</v>
      </c>
      <c r="Q67" s="20">
        <f t="shared" si="6"/>
        <v>0.95215517241379322</v>
      </c>
      <c r="R67" s="170">
        <f>Q73</f>
        <v>0.95564084550420425</v>
      </c>
      <c r="S67" s="27">
        <v>0.125</v>
      </c>
      <c r="T67" s="27">
        <v>0.16527777777777777</v>
      </c>
      <c r="U67" s="27"/>
      <c r="V67" s="21">
        <f t="shared" ref="V67:V72" si="46">(T67-S67)*24*60</f>
        <v>57.999999999999993</v>
      </c>
      <c r="W67" s="22">
        <f>T67</f>
        <v>0.16527777777777777</v>
      </c>
      <c r="X67" s="22">
        <f>S68</f>
        <v>0.1847222222222222</v>
      </c>
      <c r="Y67" s="22"/>
      <c r="Z67" s="22"/>
      <c r="AA67" s="162"/>
      <c r="AB67" s="162"/>
      <c r="AC67" s="24">
        <v>6</v>
      </c>
      <c r="AD67" s="24"/>
      <c r="AE67" s="18">
        <f t="shared" si="42"/>
        <v>-114.82758620689629</v>
      </c>
      <c r="AF67" s="20">
        <f t="shared" si="9"/>
        <v>0.95215517241379322</v>
      </c>
      <c r="AG67" s="170">
        <f>AF73</f>
        <v>0.95564084550420436</v>
      </c>
    </row>
    <row r="68" spans="1:33" ht="15.75" customHeight="1">
      <c r="A68" s="168" t="s">
        <v>1057</v>
      </c>
      <c r="B68" s="4" t="s">
        <v>97</v>
      </c>
      <c r="C68" s="163" t="s">
        <v>129</v>
      </c>
      <c r="D68" s="163"/>
      <c r="E68" s="35">
        <v>24.45</v>
      </c>
      <c r="F68" s="4">
        <v>2840</v>
      </c>
      <c r="G68" s="4">
        <f t="shared" si="44"/>
        <v>69438</v>
      </c>
      <c r="H68" s="21" t="s">
        <v>133</v>
      </c>
      <c r="I68" s="15">
        <v>19</v>
      </c>
      <c r="J68" s="17">
        <v>2400</v>
      </c>
      <c r="K68" s="16">
        <f t="shared" si="1"/>
        <v>126.31578947368421</v>
      </c>
      <c r="L68" s="15">
        <v>19</v>
      </c>
      <c r="M68" s="17">
        <f t="shared" si="45"/>
        <v>2302.7027027027025</v>
      </c>
      <c r="N68" s="16">
        <f t="shared" si="3"/>
        <v>121.19487908961592</v>
      </c>
      <c r="O68" s="18">
        <f t="shared" si="4"/>
        <v>0</v>
      </c>
      <c r="P68" s="19">
        <f t="shared" si="5"/>
        <v>-5.1209103840682815</v>
      </c>
      <c r="Q68" s="20">
        <f t="shared" si="6"/>
        <v>0.95945945945945943</v>
      </c>
      <c r="R68" s="170"/>
      <c r="S68" s="27">
        <v>0.1847222222222222</v>
      </c>
      <c r="T68" s="27">
        <v>0.2361111111111111</v>
      </c>
      <c r="U68" s="4">
        <f t="shared" ref="U68:U72" si="47">(S68-T67)*24*60</f>
        <v>27.999999999999979</v>
      </c>
      <c r="V68" s="21">
        <f t="shared" si="46"/>
        <v>74.000000000000014</v>
      </c>
      <c r="W68" s="22"/>
      <c r="X68" s="22"/>
      <c r="Y68" s="22"/>
      <c r="Z68" s="22"/>
      <c r="AA68" s="162"/>
      <c r="AB68" s="162"/>
      <c r="AC68" s="24"/>
      <c r="AD68" s="24"/>
      <c r="AE68" s="18">
        <f t="shared" si="42"/>
        <v>-97.297297297297519</v>
      </c>
      <c r="AF68" s="20">
        <f t="shared" si="9"/>
        <v>0.95945945945945932</v>
      </c>
      <c r="AG68" s="170"/>
    </row>
    <row r="69" spans="1:33" ht="15.75" customHeight="1">
      <c r="A69" s="168" t="s">
        <v>76</v>
      </c>
      <c r="B69" s="4" t="s">
        <v>97</v>
      </c>
      <c r="C69" s="163" t="s">
        <v>130</v>
      </c>
      <c r="D69" s="163"/>
      <c r="E69" s="35">
        <v>24.43</v>
      </c>
      <c r="F69" s="4">
        <v>6496</v>
      </c>
      <c r="G69" s="4">
        <f t="shared" si="44"/>
        <v>158697.28</v>
      </c>
      <c r="H69" s="21" t="s">
        <v>133</v>
      </c>
      <c r="I69" s="15">
        <v>14</v>
      </c>
      <c r="J69" s="17">
        <v>2400</v>
      </c>
      <c r="K69" s="16">
        <f t="shared" ref="K69:K73" si="48">J69/I69</f>
        <v>171.42857142857142</v>
      </c>
      <c r="L69" s="15">
        <v>14</v>
      </c>
      <c r="M69" s="17">
        <f t="shared" si="45"/>
        <v>2292.7058823529414</v>
      </c>
      <c r="N69" s="16">
        <f t="shared" ref="N69:N73" si="49">M69/L69</f>
        <v>163.76470588235296</v>
      </c>
      <c r="O69" s="18">
        <f t="shared" ref="O69:O73" si="50">L69-I69</f>
        <v>0</v>
      </c>
      <c r="P69" s="19">
        <f t="shared" ref="P69:P73" si="51">N69-K69</f>
        <v>-7.6638655462184602</v>
      </c>
      <c r="Q69" s="20">
        <f t="shared" ref="Q69:Q73" si="52">N69/K69</f>
        <v>0.95529411764705896</v>
      </c>
      <c r="R69" s="170"/>
      <c r="S69" s="27">
        <v>0.24166666666666667</v>
      </c>
      <c r="T69" s="27">
        <v>0.35972222222222222</v>
      </c>
      <c r="U69" s="4">
        <f t="shared" si="47"/>
        <v>8.0000000000000107</v>
      </c>
      <c r="V69" s="21">
        <f t="shared" si="46"/>
        <v>169.99999999999997</v>
      </c>
      <c r="W69" s="22"/>
      <c r="X69" s="22"/>
      <c r="Y69" s="22"/>
      <c r="Z69" s="22"/>
      <c r="AA69" s="162"/>
      <c r="AB69" s="162"/>
      <c r="AC69" s="24"/>
      <c r="AD69" s="24"/>
      <c r="AE69" s="18">
        <f t="shared" si="42"/>
        <v>-107.29411764705856</v>
      </c>
      <c r="AF69" s="20">
        <f t="shared" ref="AF69:AF73" si="53">M69/J69</f>
        <v>0.95529411764705896</v>
      </c>
      <c r="AG69" s="170"/>
    </row>
    <row r="70" spans="1:33" ht="15.75" customHeight="1">
      <c r="A70" s="168" t="s">
        <v>1057</v>
      </c>
      <c r="B70" s="4" t="s">
        <v>97</v>
      </c>
      <c r="C70" s="163" t="s">
        <v>132</v>
      </c>
      <c r="D70" s="163"/>
      <c r="E70" s="35">
        <v>19.02</v>
      </c>
      <c r="F70" s="4">
        <v>5500</v>
      </c>
      <c r="G70" s="4">
        <f t="shared" si="44"/>
        <v>104610</v>
      </c>
      <c r="H70" s="21">
        <v>2</v>
      </c>
      <c r="I70" s="15">
        <v>14</v>
      </c>
      <c r="J70" s="17">
        <v>2400</v>
      </c>
      <c r="K70" s="16">
        <f t="shared" si="48"/>
        <v>171.42857142857142</v>
      </c>
      <c r="L70" s="15">
        <v>14</v>
      </c>
      <c r="M70" s="17">
        <f t="shared" si="45"/>
        <v>2291.666666666667</v>
      </c>
      <c r="N70" s="16">
        <f t="shared" si="49"/>
        <v>163.6904761904762</v>
      </c>
      <c r="O70" s="18">
        <f t="shared" si="50"/>
        <v>0</v>
      </c>
      <c r="P70" s="19">
        <f t="shared" si="51"/>
        <v>-7.7380952380952124</v>
      </c>
      <c r="Q70" s="20">
        <f t="shared" si="52"/>
        <v>0.95486111111111127</v>
      </c>
      <c r="R70" s="170"/>
      <c r="S70" s="27">
        <v>0.36319444444444443</v>
      </c>
      <c r="T70" s="27">
        <v>0.46319444444444441</v>
      </c>
      <c r="U70" s="4">
        <f t="shared" si="47"/>
        <v>4.9999999999999822</v>
      </c>
      <c r="V70" s="21">
        <f t="shared" si="46"/>
        <v>143.99999999999997</v>
      </c>
      <c r="W70" s="22">
        <f>T70</f>
        <v>0.46319444444444441</v>
      </c>
      <c r="X70" s="22">
        <f>S71</f>
        <v>0.50486111111111109</v>
      </c>
      <c r="Y70" s="22"/>
      <c r="Z70" s="22"/>
      <c r="AA70" s="162"/>
      <c r="AB70" s="162"/>
      <c r="AC70" s="24"/>
      <c r="AD70" s="24"/>
      <c r="AE70" s="18">
        <f t="shared" si="42"/>
        <v>-108.33333333333303</v>
      </c>
      <c r="AF70" s="20">
        <f t="shared" si="53"/>
        <v>0.95486111111111127</v>
      </c>
      <c r="AG70" s="170"/>
    </row>
    <row r="71" spans="1:33" ht="15.75" customHeight="1">
      <c r="A71" s="168" t="s">
        <v>76</v>
      </c>
      <c r="B71" s="4" t="s">
        <v>97</v>
      </c>
      <c r="C71" s="163" t="s">
        <v>132</v>
      </c>
      <c r="D71" s="163"/>
      <c r="E71" s="35">
        <v>19.02</v>
      </c>
      <c r="F71" s="4">
        <v>3514</v>
      </c>
      <c r="G71" s="4">
        <f t="shared" si="44"/>
        <v>66836.28</v>
      </c>
      <c r="H71" s="21" t="s">
        <v>133</v>
      </c>
      <c r="I71" s="15">
        <v>14</v>
      </c>
      <c r="J71" s="17">
        <v>2400</v>
      </c>
      <c r="K71" s="16">
        <f t="shared" si="48"/>
        <v>171.42857142857142</v>
      </c>
      <c r="L71" s="15">
        <v>14</v>
      </c>
      <c r="M71" s="17">
        <f t="shared" si="45"/>
        <v>2291.739130434783</v>
      </c>
      <c r="N71" s="16">
        <f t="shared" si="49"/>
        <v>163.69565217391306</v>
      </c>
      <c r="O71" s="18">
        <f t="shared" si="50"/>
        <v>0</v>
      </c>
      <c r="P71" s="19">
        <f t="shared" si="51"/>
        <v>-7.7329192546583556</v>
      </c>
      <c r="Q71" s="20">
        <f t="shared" si="52"/>
        <v>0.95489130434782621</v>
      </c>
      <c r="R71" s="170"/>
      <c r="S71" s="27">
        <v>0.50486111111111109</v>
      </c>
      <c r="T71" s="27">
        <v>0.56874999999999998</v>
      </c>
      <c r="U71" s="4">
        <f t="shared" si="47"/>
        <v>60.000000000000028</v>
      </c>
      <c r="V71" s="21">
        <f t="shared" si="46"/>
        <v>92</v>
      </c>
      <c r="W71" s="22"/>
      <c r="X71" s="22"/>
      <c r="Y71" s="22"/>
      <c r="Z71" s="22"/>
      <c r="AA71" s="162"/>
      <c r="AB71" s="162"/>
      <c r="AC71" s="24"/>
      <c r="AD71" s="24"/>
      <c r="AE71" s="18">
        <f t="shared" si="42"/>
        <v>-108.26086956521704</v>
      </c>
      <c r="AF71" s="20">
        <f t="shared" si="53"/>
        <v>0.95489130434782621</v>
      </c>
      <c r="AG71" s="170"/>
    </row>
    <row r="72" spans="1:33" ht="15.75" customHeight="1">
      <c r="A72" s="168" t="s">
        <v>1058</v>
      </c>
      <c r="B72" s="4" t="s">
        <v>97</v>
      </c>
      <c r="C72" s="163" t="s">
        <v>98</v>
      </c>
      <c r="D72" s="163"/>
      <c r="E72" s="35">
        <v>31.29</v>
      </c>
      <c r="F72" s="4">
        <v>3331</v>
      </c>
      <c r="G72" s="4">
        <f t="shared" si="44"/>
        <v>104226.98999999999</v>
      </c>
      <c r="H72" s="21" t="s">
        <v>133</v>
      </c>
      <c r="I72" s="15">
        <v>18</v>
      </c>
      <c r="J72" s="17">
        <v>2400</v>
      </c>
      <c r="K72" s="16">
        <f t="shared" si="48"/>
        <v>133.33333333333334</v>
      </c>
      <c r="L72" s="15">
        <v>18</v>
      </c>
      <c r="M72" s="17">
        <f t="shared" si="45"/>
        <v>2297.2413793103447</v>
      </c>
      <c r="N72" s="16">
        <f t="shared" si="49"/>
        <v>127.62452107279692</v>
      </c>
      <c r="O72" s="18">
        <f t="shared" si="50"/>
        <v>0</v>
      </c>
      <c r="P72" s="19">
        <f t="shared" si="51"/>
        <v>-5.7088122605364191</v>
      </c>
      <c r="Q72" s="20">
        <f t="shared" si="52"/>
        <v>0.95718390804597686</v>
      </c>
      <c r="R72" s="170"/>
      <c r="S72" s="27">
        <v>0.57291666666666663</v>
      </c>
      <c r="T72" s="27">
        <v>0.6333333333333333</v>
      </c>
      <c r="U72" s="4">
        <f t="shared" si="47"/>
        <v>5.9999999999999787</v>
      </c>
      <c r="V72" s="21">
        <f t="shared" si="46"/>
        <v>87.000000000000014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42"/>
        <v>-102.75862068965534</v>
      </c>
      <c r="AF72" s="20">
        <f t="shared" si="53"/>
        <v>0.95718390804597697</v>
      </c>
      <c r="AG72" s="170"/>
    </row>
    <row r="73" spans="1:33" ht="16.5" customHeight="1">
      <c r="A73" s="169" t="s">
        <v>76</v>
      </c>
      <c r="B73" s="35" t="s">
        <v>48</v>
      </c>
      <c r="C73" s="164"/>
      <c r="D73" s="165"/>
      <c r="E73" s="36"/>
      <c r="F73" s="16"/>
      <c r="G73" s="16"/>
      <c r="H73" s="4"/>
      <c r="I73" s="29">
        <v>15.666666666666666</v>
      </c>
      <c r="J73" s="17">
        <v>2400</v>
      </c>
      <c r="K73" s="16">
        <f t="shared" si="48"/>
        <v>153.19148936170214</v>
      </c>
      <c r="L73" s="29">
        <v>15.666666666666666</v>
      </c>
      <c r="M73" s="17">
        <f>AVERAGE(M67:M72)</f>
        <v>2293.5380292100904</v>
      </c>
      <c r="N73" s="16">
        <f t="shared" si="49"/>
        <v>146.39604441766534</v>
      </c>
      <c r="O73" s="18">
        <f t="shared" si="50"/>
        <v>0</v>
      </c>
      <c r="P73" s="19">
        <f t="shared" si="51"/>
        <v>-6.7954449440368023</v>
      </c>
      <c r="Q73" s="20">
        <f t="shared" si="52"/>
        <v>0.95564084550420425</v>
      </c>
      <c r="R73" s="170"/>
      <c r="S73" s="27"/>
      <c r="T73" s="27"/>
      <c r="U73" s="16"/>
      <c r="V73" s="21"/>
      <c r="W73" s="16"/>
      <c r="X73" s="16"/>
      <c r="Y73" s="30">
        <f>SUM(Y67:Y72)</f>
        <v>0</v>
      </c>
      <c r="Z73" s="30">
        <f>SUM(Z67:Z72)</f>
        <v>0</v>
      </c>
      <c r="AA73" s="166"/>
      <c r="AB73" s="166"/>
      <c r="AC73" s="30">
        <f>SUM(AC67:AC72)</f>
        <v>6</v>
      </c>
      <c r="AD73" s="30">
        <f>SUM(AD67:AD72)</f>
        <v>0</v>
      </c>
      <c r="AE73" s="18">
        <f t="shared" si="42"/>
        <v>-106.46197078990963</v>
      </c>
      <c r="AF73" s="20">
        <f t="shared" si="53"/>
        <v>0.95564084550420436</v>
      </c>
      <c r="AG73" s="170"/>
    </row>
    <row r="74" spans="1:33">
      <c r="D74" s="41"/>
      <c r="E74" s="41"/>
    </row>
  </sheetData>
  <mergeCells count="19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H3:H4"/>
    <mergeCell ref="I3:I4"/>
    <mergeCell ref="AC3:AD3"/>
    <mergeCell ref="C8:D8"/>
    <mergeCell ref="AA8:AB8"/>
    <mergeCell ref="C9:D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G14:AG18"/>
    <mergeCell ref="C18:D18"/>
    <mergeCell ref="AA18:AB18"/>
    <mergeCell ref="A11:A13"/>
    <mergeCell ref="C11:D11"/>
    <mergeCell ref="R11:R13"/>
    <mergeCell ref="AA11:AB11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G5:AG10"/>
    <mergeCell ref="C6:D6"/>
    <mergeCell ref="AA6:AB6"/>
    <mergeCell ref="C10:D10"/>
    <mergeCell ref="AA10:AB10"/>
    <mergeCell ref="C7:D7"/>
    <mergeCell ref="AA7:AB7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14:A18"/>
    <mergeCell ref="C14:D14"/>
    <mergeCell ref="R14:R18"/>
    <mergeCell ref="AA14:AB14"/>
    <mergeCell ref="AG25:AG33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25:A33"/>
    <mergeCell ref="C25:D25"/>
    <mergeCell ref="R25:R33"/>
    <mergeCell ref="AA25:AB25"/>
    <mergeCell ref="C32:D32"/>
    <mergeCell ref="AA32:AB32"/>
    <mergeCell ref="C33:D33"/>
    <mergeCell ref="AA33:AB33"/>
    <mergeCell ref="A34:A42"/>
    <mergeCell ref="C34:D34"/>
    <mergeCell ref="R34:R42"/>
    <mergeCell ref="AA34:AB34"/>
    <mergeCell ref="AA39:AB39"/>
    <mergeCell ref="C40:D40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1:D41"/>
    <mergeCell ref="AA41:AB41"/>
    <mergeCell ref="C42:D42"/>
    <mergeCell ref="AA42:AB42"/>
    <mergeCell ref="A43:A52"/>
    <mergeCell ref="C43:D43"/>
    <mergeCell ref="R43:R52"/>
    <mergeCell ref="AA43:AB43"/>
    <mergeCell ref="AA48:AB48"/>
    <mergeCell ref="C49:D49"/>
    <mergeCell ref="AA49:AB49"/>
    <mergeCell ref="C50:D50"/>
    <mergeCell ref="AA50:AB50"/>
    <mergeCell ref="C51:D51"/>
    <mergeCell ref="AA51:AB51"/>
    <mergeCell ref="AG43:AG52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C52:D52"/>
    <mergeCell ref="AA52:AB52"/>
    <mergeCell ref="A53:A61"/>
    <mergeCell ref="C53:D53"/>
    <mergeCell ref="R53:R61"/>
    <mergeCell ref="AA53:AB53"/>
    <mergeCell ref="AA59:AB59"/>
    <mergeCell ref="C60:D60"/>
    <mergeCell ref="AA60:AB60"/>
    <mergeCell ref="C61:D61"/>
    <mergeCell ref="AA61:AB61"/>
    <mergeCell ref="A62:A66"/>
    <mergeCell ref="C62:D62"/>
    <mergeCell ref="R62:R66"/>
    <mergeCell ref="AA62:AB62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G53:AG61"/>
    <mergeCell ref="C54:D54"/>
    <mergeCell ref="AA54:AB54"/>
    <mergeCell ref="C55:D55"/>
    <mergeCell ref="AA55:AB55"/>
    <mergeCell ref="AA56:AB56"/>
    <mergeCell ref="AA57:AB57"/>
    <mergeCell ref="C58:D58"/>
    <mergeCell ref="AA58:AB58"/>
    <mergeCell ref="C59:D59"/>
    <mergeCell ref="A67:A73"/>
    <mergeCell ref="C67:D67"/>
    <mergeCell ref="R67:R73"/>
    <mergeCell ref="AA67:AB67"/>
    <mergeCell ref="AA72:AB72"/>
    <mergeCell ref="C73:D73"/>
    <mergeCell ref="AA73:AB73"/>
    <mergeCell ref="AG67:AG73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</mergeCells>
  <phoneticPr fontId="3" type="noConversion"/>
  <conditionalFormatting sqref="O5:O73">
    <cfRule type="cellIs" dxfId="100" priority="9" operator="greaterThan">
      <formula>0</formula>
    </cfRule>
  </conditionalFormatting>
  <conditionalFormatting sqref="P5:P73">
    <cfRule type="cellIs" dxfId="99" priority="1" operator="lessThan">
      <formula>0</formula>
    </cfRule>
  </conditionalFormatting>
  <conditionalFormatting sqref="Q5:Q73 AF5:AF73">
    <cfRule type="cellIs" dxfId="98" priority="10" operator="greaterThan">
      <formula>1</formula>
    </cfRule>
    <cfRule type="cellIs" dxfId="97" priority="11" operator="lessThan">
      <formula>0.8</formula>
    </cfRule>
  </conditionalFormatting>
  <conditionalFormatting sqref="R5:R11 AG5:AG11">
    <cfRule type="cellIs" dxfId="96" priority="65" operator="lessThan">
      <formula>0.8</formula>
    </cfRule>
  </conditionalFormatting>
  <conditionalFormatting sqref="AE5:AE73">
    <cfRule type="cellIs" dxfId="95" priority="12" operator="lessThan">
      <formula>0</formula>
    </cfRule>
  </conditionalFormatting>
  <conditionalFormatting sqref="AG14:AG65 R14:R73">
    <cfRule type="cellIs" dxfId="94" priority="13" operator="lessThan">
      <formula>0.8</formula>
    </cfRule>
  </conditionalFormatting>
  <dataValidations count="1">
    <dataValidation type="list" allowBlank="1" showInputMessage="1" showErrorMessage="1" sqref="AB10 AA5:AB9 AA10:AA65 AB12:AB62 AA66:AB73" xr:uid="{00000000-0002-0000-2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Q32"/>
  <sheetViews>
    <sheetView topLeftCell="A11" zoomScale="85" zoomScaleNormal="85" workbookViewId="0">
      <selection activeCell="C19" sqref="C19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921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922</v>
      </c>
      <c r="C3" s="151" t="str">
        <f>TEXT('0310 4度C'!A2,"yyyy.mm.ddaaaa")</f>
        <v>2026.03.10星期二</v>
      </c>
      <c r="D3" s="152"/>
      <c r="E3" s="45" t="s">
        <v>923</v>
      </c>
      <c r="F3" s="153">
        <f>'0310 4度C'!D1</f>
        <v>165900</v>
      </c>
      <c r="G3" s="154"/>
      <c r="H3" s="45" t="s">
        <v>924</v>
      </c>
      <c r="I3" s="155">
        <f>'0310 4度C'!F1</f>
        <v>5504931.0600000005</v>
      </c>
      <c r="J3" s="156"/>
      <c r="K3" s="46"/>
      <c r="L3" s="47"/>
      <c r="M3" s="47"/>
      <c r="N3" s="47"/>
    </row>
    <row r="4" spans="2:17" ht="28.5" customHeight="1">
      <c r="B4" s="157" t="s">
        <v>925</v>
      </c>
      <c r="C4" s="143" t="s">
        <v>202</v>
      </c>
      <c r="D4" s="144"/>
      <c r="E4" s="160" t="s">
        <v>926</v>
      </c>
      <c r="F4" s="161"/>
      <c r="G4" s="160" t="s">
        <v>413</v>
      </c>
      <c r="H4" s="161"/>
      <c r="I4" s="160" t="s">
        <v>927</v>
      </c>
      <c r="J4" s="161"/>
      <c r="K4" s="141" t="s">
        <v>928</v>
      </c>
      <c r="L4" s="142"/>
      <c r="M4" s="142" t="s">
        <v>207</v>
      </c>
      <c r="N4" s="142"/>
    </row>
    <row r="5" spans="2:17" ht="28.5" customHeight="1">
      <c r="B5" s="158"/>
      <c r="C5" s="143" t="s">
        <v>208</v>
      </c>
      <c r="D5" s="144"/>
      <c r="E5" s="143" t="s">
        <v>929</v>
      </c>
      <c r="F5" s="144"/>
      <c r="G5" s="145" t="s">
        <v>930</v>
      </c>
      <c r="H5" s="146"/>
      <c r="I5" s="147" t="s">
        <v>931</v>
      </c>
      <c r="J5" s="148"/>
      <c r="K5" s="48" t="s">
        <v>932</v>
      </c>
      <c r="L5" s="49" t="s">
        <v>933</v>
      </c>
      <c r="M5" s="48" t="s">
        <v>317</v>
      </c>
      <c r="N5" s="49" t="s">
        <v>215</v>
      </c>
    </row>
    <row r="6" spans="2:17" ht="28.5" customHeight="1">
      <c r="B6" s="158"/>
      <c r="C6" s="143" t="s">
        <v>153</v>
      </c>
      <c r="D6" s="144"/>
      <c r="E6" s="135">
        <f>AVERAGE(D13:M13)</f>
        <v>151.51896410877245</v>
      </c>
      <c r="F6" s="136">
        <f>AVERAGE(D31:O31,D13:J13)</f>
        <v>154.90042721414125</v>
      </c>
      <c r="G6" s="137">
        <f>AVERAGE(D13:J13)</f>
        <v>154.90042721414125</v>
      </c>
      <c r="H6" s="138"/>
      <c r="I6" s="137">
        <f>AVERAGE(K13:M13)</f>
        <v>143.62888352957864</v>
      </c>
      <c r="J6" s="138"/>
      <c r="K6" s="139">
        <f>'0310 4度C'!Y2</f>
        <v>0</v>
      </c>
      <c r="L6" s="124">
        <f>'0310 4度C'!Z2</f>
        <v>0</v>
      </c>
      <c r="M6" s="140">
        <f>'0310 4度C'!AC2</f>
        <v>63</v>
      </c>
      <c r="N6" s="124">
        <f>'0310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144.91642739037962</v>
      </c>
      <c r="F7" s="128">
        <f>AVERAGE(D32:O32,D14:J14)</f>
        <v>148.22683199707689</v>
      </c>
      <c r="G7" s="129">
        <f>AVERAGE(D14:J14)</f>
        <v>148.22683199707689</v>
      </c>
      <c r="H7" s="130"/>
      <c r="I7" s="129">
        <f>AVERAGE(K14:M14)</f>
        <v>137.1921499747526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0.95641768998115817</v>
      </c>
      <c r="F8" s="132">
        <f>AVERAGE(D15:J15,D33:O33)</f>
        <v>0.95693520113899821</v>
      </c>
      <c r="G8" s="133">
        <f>AVERAGE(D15:J15)</f>
        <v>0.95693520113899821</v>
      </c>
      <c r="H8" s="134"/>
      <c r="I8" s="133">
        <f>AVERAGE(K15:M15)</f>
        <v>0.95521016394619773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934</v>
      </c>
      <c r="N9" s="47"/>
      <c r="O9" s="47"/>
      <c r="P9" s="47"/>
      <c r="Q9" s="47"/>
    </row>
    <row r="10" spans="2:17" ht="30" customHeight="1">
      <c r="B10" s="107" t="s">
        <v>527</v>
      </c>
      <c r="C10" s="108"/>
      <c r="D10" s="109" t="s">
        <v>935</v>
      </c>
      <c r="E10" s="110"/>
      <c r="F10" s="110"/>
      <c r="G10" s="110"/>
      <c r="H10" s="110"/>
      <c r="I10" s="110"/>
      <c r="J10" s="111"/>
      <c r="K10" s="112" t="s">
        <v>936</v>
      </c>
      <c r="L10" s="113"/>
      <c r="M10" s="114"/>
      <c r="P10" s="53"/>
      <c r="Q10" s="53"/>
    </row>
    <row r="11" spans="2:17" ht="17.25" customHeight="1">
      <c r="B11" s="115" t="s">
        <v>937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938</v>
      </c>
      <c r="C13" s="60" t="s">
        <v>172</v>
      </c>
      <c r="D13" s="61">
        <f>SUMIFS('0310 4度C'!$K:$K,'0310 4度C'!$A:$A,"新豐6線",'0310 4度C'!$B:$B,"平均")</f>
        <v>112.35955056179775</v>
      </c>
      <c r="E13" s="62">
        <f>SUMIFS('0310 4度C'!$K:$K,'0310 4度C'!$A:$A,"新豐2線",'0310 4度C'!$B:$B,"平均")</f>
        <v>84.905660377358487</v>
      </c>
      <c r="F13" s="63">
        <f>SUMIFS('0310 4度C'!$K:$K,'0310 4度C'!$A:$A,"新豐5線",'0310 4度C'!$B:$B,"平均")</f>
        <v>109.19540229885058</v>
      </c>
      <c r="G13" s="63">
        <f>SUMIFS('0310 4度C'!$K:$K,'0310 4度C'!$A:$A,"新豐7線",'0310 4度C'!$B:$B,"平均")</f>
        <v>122.22222222222221</v>
      </c>
      <c r="H13" s="63">
        <f>SUMIFS('0310 4度C'!$K:$K,'0310 4度C'!$A:$A,"新豐3線",'0310 4度C'!$B:$B,"平均")</f>
        <v>313.95348837209303</v>
      </c>
      <c r="I13" s="63">
        <f>SUMIFS('0310 4度C'!$K:$K,'0310 4度C'!$A:$A,"新豐1線",'0310 4度C'!$B:$B,"平均")</f>
        <v>104.16666666666666</v>
      </c>
      <c r="J13" s="64">
        <f>SUMIFS('0310 4度C'!$K:$K,'0310 4度C'!$A:$A,"新豐10線",'0310 4度C'!$B:$B,"平均")</f>
        <v>237.5</v>
      </c>
      <c r="K13" s="65">
        <f>SUMIFS('0310 4度C'!$K:$K,'0310 4度C'!$A:$A,"新豐8線",'0310 4度C'!$B:$B,"平均")</f>
        <v>135.84905660377356</v>
      </c>
      <c r="L13" s="66">
        <f>SUMIFS('0310 4度C'!$K:$K,'0310 4度C'!$A:$A,"新豐9線",'0310 4度C'!$B:$B,"平均")</f>
        <v>137.14285714285714</v>
      </c>
      <c r="M13" s="64">
        <f>SUMIFS('0310 4度C'!$K:$K,'0310 4度C'!$A:$A,"新豐4線",'0310 4度C'!$B:$B,"平均")</f>
        <v>157.89473684210526</v>
      </c>
    </row>
    <row r="14" spans="2:17" ht="39.6" customHeight="1">
      <c r="B14" s="120"/>
      <c r="C14" s="67" t="s">
        <v>939</v>
      </c>
      <c r="D14" s="68">
        <f>SUMIFS('0310 4度C'!$N:$N,'0310 4度C'!$A:$A,"新豐6線",'0310 4度C'!$B:$B,"平均")</f>
        <v>108.37704927147674</v>
      </c>
      <c r="E14" s="69">
        <f>SUMIFS('0310 4度C'!$N:$N,'0310 4度C'!$A:$A,"新豐2線",'0310 4度C'!$B:$B,"平均")</f>
        <v>81.050302323887252</v>
      </c>
      <c r="F14" s="69">
        <f>SUMIFS('0310 4度C'!$N:$N,'0310 4度C'!$A:$A,"新豐5線",'0310 4度C'!$B:$B,"平均")</f>
        <v>104.65988482428845</v>
      </c>
      <c r="G14" s="69">
        <f>SUMIFS('0310 4度C'!$N:$N,'0310 4度C'!$A:$A,"新豐7線",'0310 4度C'!$B:$B,"平均")</f>
        <v>117.44775560402105</v>
      </c>
      <c r="H14" s="69">
        <f>SUMIFS('0310 4度C'!$N:$N,'0310 4度C'!$A:$A,"新豐3線",'0310 4度C'!$B:$B,"平均")</f>
        <v>300.66415443312161</v>
      </c>
      <c r="I14" s="69">
        <f>SUMIFS('0310 4度C'!$N:$N,'0310 4度C'!$A:$A,"新豐1線",'0310 4度C'!$B:$B,"平均")</f>
        <v>98.760892150220954</v>
      </c>
      <c r="J14" s="70">
        <f>SUMIFS('0310 4度C'!$N:$N,'0310 4度C'!$A:$A,"新豐10線",'0310 4度C'!$B:$B,"平均")</f>
        <v>226.62778537252217</v>
      </c>
      <c r="K14" s="71">
        <f>SUMIFS('0310 4度C'!$N:$N,'0310 4度C'!$A:$A,"新豐8線",'0310 4度C'!$B:$B,"平均")</f>
        <v>129.87236705709543</v>
      </c>
      <c r="L14" s="72">
        <f>SUMIFS('0310 4度C'!$N:$N,'0310 4度C'!$A:$A,"新豐9線",'0310 4度C'!$B:$B,"平均")</f>
        <v>130.95621861872607</v>
      </c>
      <c r="M14" s="70">
        <f>SUMIFS('0310 4度C'!$N:$N,'0310 4度C'!$A:$A,"新豐4線",'0310 4度C'!$B:$B,"平均")</f>
        <v>150.74786424843631</v>
      </c>
    </row>
    <row r="15" spans="2:17" ht="40.15" customHeight="1">
      <c r="B15" s="121"/>
      <c r="C15" s="73" t="s">
        <v>432</v>
      </c>
      <c r="D15" s="74">
        <f t="shared" ref="D15:M15" si="0">D14/D13</f>
        <v>0.96455573851614296</v>
      </c>
      <c r="E15" s="75">
        <f t="shared" si="0"/>
        <v>0.95459244959244993</v>
      </c>
      <c r="F15" s="75">
        <f t="shared" si="0"/>
        <v>0.95846420839085211</v>
      </c>
      <c r="G15" s="75">
        <f t="shared" si="0"/>
        <v>0.96093618221471777</v>
      </c>
      <c r="H15" s="75">
        <f t="shared" si="0"/>
        <v>0.95767101041660951</v>
      </c>
      <c r="I15" s="75">
        <f t="shared" si="0"/>
        <v>0.94810456464212123</v>
      </c>
      <c r="J15" s="76">
        <f t="shared" si="0"/>
        <v>0.95422225420009332</v>
      </c>
      <c r="K15" s="74">
        <f t="shared" si="0"/>
        <v>0.95600492417028593</v>
      </c>
      <c r="L15" s="75">
        <f t="shared" si="0"/>
        <v>0.95488909409487766</v>
      </c>
      <c r="M15" s="76">
        <f t="shared" si="0"/>
        <v>0.95473647357343006</v>
      </c>
    </row>
    <row r="16" spans="2:17" ht="17.25" customHeight="1">
      <c r="B16" s="122" t="s">
        <v>433</v>
      </c>
      <c r="C16" s="77" t="s">
        <v>940</v>
      </c>
      <c r="D16" s="78">
        <f>VLOOKUP("新豐6線",'0310 4度C'!$A:$T,19,0)</f>
        <v>0.70833333333333337</v>
      </c>
      <c r="E16" s="79">
        <f>VLOOKUP("新豐2線",'0310 4度C'!$A:$T,19,0)</f>
        <v>0.20833333333333334</v>
      </c>
      <c r="F16" s="79">
        <f>VLOOKUP("新豐5線",'0310 4度C'!$A:$T,19,0)</f>
        <v>0.20833333333333334</v>
      </c>
      <c r="G16" s="79">
        <f>VLOOKUP("新豐7線",'0310 4度C'!$A:$T,19,0)</f>
        <v>0.20833333333333334</v>
      </c>
      <c r="H16" s="79">
        <f>VLOOKUP("新豐3線",'0310 4度C'!$A:$T,19,0)</f>
        <v>0.20833333333333334</v>
      </c>
      <c r="I16" s="79">
        <f>VLOOKUP("新豐1線",'0310 4度C'!$A:$T,19,0)</f>
        <v>0.20833333333333334</v>
      </c>
      <c r="J16" s="80">
        <f>VLOOKUP("新豐10線",'0310 4度C'!$A:$T,19,0)</f>
        <v>0.20833333333333334</v>
      </c>
      <c r="K16" s="81">
        <f>VLOOKUP("新豐8線",'0310 4度C'!$A:$T,19,0)</f>
        <v>0.125</v>
      </c>
      <c r="L16" s="82">
        <f>VLOOKUP("新豐9線",'0310 4度C'!$A:$T,19,0)</f>
        <v>0.125</v>
      </c>
      <c r="M16" s="83">
        <f>VLOOKUP("新豐4線",'0310 4度C'!$A:$T,19,0)</f>
        <v>0.125</v>
      </c>
    </row>
    <row r="17" spans="2:13" ht="17.25" customHeight="1">
      <c r="B17" s="123"/>
      <c r="C17" s="77" t="s">
        <v>227</v>
      </c>
      <c r="D17" s="81">
        <f>LOOKUP(2,1/(('0310 4度C'!$A:$A="新豐6線")*('0310 4度C'!$T:$T&lt;&gt;"")),'0310 4度C'!$T:$T)</f>
        <v>0.82291666666666663</v>
      </c>
      <c r="E17" s="79">
        <f>LOOKUP(2,1/(('0310 4度C'!$A:$A="新豐2線")*('0310 4度C'!$T:$T&lt;&gt;"")),'0310 4度C'!$T:$T)</f>
        <v>0.5888888888888888</v>
      </c>
      <c r="F17" s="79">
        <f>LOOKUP(2,1/(('0310 4度C'!$A:$A="新豐5線")*('0310 4度C'!$T:$T&lt;&gt;"")),'0310 4度C'!$T:$T)</f>
        <v>0.91527777777777775</v>
      </c>
      <c r="G17" s="79">
        <f>LOOKUP(2,1/(('0310 4度C'!$A:$A="新豐7線")*('0310 4度C'!$T:$T&lt;&gt;"")),'0310 4度C'!$T:$T)</f>
        <v>0.8979166666666667</v>
      </c>
      <c r="H17" s="79">
        <f>LOOKUP(2,1/(('0310 4度C'!$A:$A="新豐3線")*('0310 4度C'!$T:$T&lt;&gt;"")),'0310 4度C'!$T:$T)</f>
        <v>0.67569444444444438</v>
      </c>
      <c r="I17" s="79">
        <f>LOOKUP(2,1/(('0310 4度C'!$A:$A="新豐1線")*('0310 4度C'!$T:$T&lt;&gt;"")),'0310 4度C'!$T:$T)</f>
        <v>0.90902777777777777</v>
      </c>
      <c r="J17" s="80">
        <f>LOOKUP(2,1/(('0310 4度C'!$A:$A="新豐10線")*('0310 4度C'!$T:$T&lt;&gt;"")),'0310 4度C'!$T:$T)</f>
        <v>0.47916666666666669</v>
      </c>
      <c r="K17" s="78">
        <f>LOOKUP(2,1/(('0310 4度C'!$A:$A="新豐8線")*('0310 4度C'!$T:$T&lt;&gt;"")),'0310 4度C'!$T:$T)</f>
        <v>0.71388888888888868</v>
      </c>
      <c r="L17" s="79">
        <f>LOOKUP(2,1/(('0310 4度C'!$A:$A="新豐9線")*('0310 4度C'!$T:$T&lt;&gt;"")),'0310 4度C'!$T:$T)</f>
        <v>0.68263888888888891</v>
      </c>
      <c r="M17" s="80">
        <f>LOOKUP(2,1/(('0310 4度C'!$A:$A="新豐4線")*('0310 4度C'!$T:$T&lt;&gt;"")),'0310 4度C'!$T:$T)</f>
        <v>0.59375</v>
      </c>
    </row>
    <row r="18" spans="2:13" ht="17.25" customHeight="1">
      <c r="B18" s="101" t="s">
        <v>941</v>
      </c>
      <c r="C18" s="84" t="s">
        <v>41</v>
      </c>
      <c r="D18" s="85">
        <f>SUMIFS('0310 4度C'!$Y:$Y,'0310 4度C'!$A:$A,"新豐6線",'0310 4度C'!$B:$B,"平均")</f>
        <v>0</v>
      </c>
      <c r="E18" s="86">
        <f>SUMIFS('0310 4度C'!$Y:$Y,'0310 4度C'!$A:$A,"新豐2線",'0310 4度C'!$B:$B,"平均")</f>
        <v>0</v>
      </c>
      <c r="F18" s="86">
        <f>SUMIFS('0310 4度C'!$Y:$Y,'0310 4度C'!$A:$A,"新豐5線",'0310 4度C'!$B:$B,"平均")</f>
        <v>0</v>
      </c>
      <c r="G18" s="86">
        <f>SUMIFS('0310 4度C'!$Y:$Y,'0310 4度C'!$A:$A,"新豐7線",'0310 4度C'!$B:$B,"平均")</f>
        <v>0</v>
      </c>
      <c r="H18" s="86">
        <f>SUMIFS('0310 4度C'!$Y:$Y,'0310 4度C'!$A:$A,"新豐3線",'0310 4度C'!$B:$B,"平均")</f>
        <v>0</v>
      </c>
      <c r="I18" s="86">
        <f>SUMIFS('0310 4度C'!$Y:$Y,'0310 4度C'!$A:$A,"新豐1線",'0310 4度C'!$B:$B,"平均")</f>
        <v>0</v>
      </c>
      <c r="J18" s="87">
        <f>SUMIFS('0310 4度C'!$Y:$Y,'0310 4度C'!$A:$A,"新豐10線",'0310 4度C'!$B:$B,"平均")</f>
        <v>0</v>
      </c>
      <c r="K18" s="88">
        <f>SUMIFS('0310 4度C'!$Y:$Y,'0310 4度C'!$A:$A,"新豐8線",'0310 4度C'!$B:$B,"平均")</f>
        <v>0</v>
      </c>
      <c r="L18" s="86">
        <f>SUMIFS('0310 4度C'!$Y:$Y,'0310 4度C'!$A:$A,"新豐9線",'0310 4度C'!$B:$B,"平均")</f>
        <v>0</v>
      </c>
      <c r="M18" s="87">
        <f>SUMIFS('0310 4度C'!$Y:$Y,'0310 4度C'!$A:$A,"新豐4線",'0310 4度C'!$B:$B,"平均")</f>
        <v>0</v>
      </c>
    </row>
    <row r="19" spans="2:13" ht="17.25" customHeight="1">
      <c r="B19" s="102"/>
      <c r="C19" s="84" t="s">
        <v>42</v>
      </c>
      <c r="D19" s="85">
        <f>SUMIFS('0310 4度C'!$Z:$Z,'0310 4度C'!$A:$A,"新豐6線",'0310 4度C'!$B:$B,"平均")</f>
        <v>0</v>
      </c>
      <c r="E19" s="86">
        <f>SUMIFS('0310 4度C'!$Z:$Z,'0310 4度C'!$A:$A,"新豐2線",'0310 4度C'!$B:$B,"平均")</f>
        <v>0</v>
      </c>
      <c r="F19" s="86">
        <f>SUMIFS('0310 4度C'!$Z:$Z,'0310 4度C'!$A:$A,"新豐5線",'0310 4度C'!$B:$B,"平均")</f>
        <v>0</v>
      </c>
      <c r="G19" s="86">
        <f>SUMIFS('0310 4度C'!$Z:$Z,'0310 4度C'!$A:$A,"新豐7線",'0310 4度C'!$B:$B,"平均")</f>
        <v>0</v>
      </c>
      <c r="H19" s="86">
        <f>SUMIFS('0310 4度C'!$Z:$Z,'0310 4度C'!$A:$A,"新豐3線",'0310 4度C'!$B:$B,"平均")</f>
        <v>0</v>
      </c>
      <c r="I19" s="86">
        <f>SUMIFS('0310 4度C'!$Z:$Z,'0310 4度C'!$A:$A,"新豐1線",'0310 4度C'!$B:$B,"平均")</f>
        <v>0</v>
      </c>
      <c r="J19" s="87">
        <f>SUMIFS('0310 4度C'!$Z:$Z,'0310 4度C'!$A:$A,"新豐10線",'0310 4度C'!$B:$B,"平均")</f>
        <v>0</v>
      </c>
      <c r="K19" s="88">
        <f>SUMIFS('0310 4度C'!$Z:$Z,'0310 4度C'!$A:$A,"新豐8線",'0310 4度C'!$B:$B,"平均")</f>
        <v>0</v>
      </c>
      <c r="L19" s="86">
        <f>SUMIFS('0310 4度C'!$Z:$Z,'0310 4度C'!$A:$A,"新豐9線",'0310 4度C'!$B:$B,"平均")</f>
        <v>0</v>
      </c>
      <c r="M19" s="87">
        <f>SUMIFS('0310 4度C'!$Z:$Z,'0310 4度C'!$A:$A,"新豐4線",'0310 4度C'!$B:$B,"平均")</f>
        <v>0</v>
      </c>
    </row>
    <row r="20" spans="2:13" ht="17.25" customHeight="1">
      <c r="B20" s="101" t="s">
        <v>541</v>
      </c>
      <c r="C20" s="84" t="s">
        <v>942</v>
      </c>
      <c r="D20" s="85">
        <f>SUMIFS('0310 4度C'!$AC:$AC,'0310 4度C'!$A:$A,"新豐6線",'0310 4度C'!$B:$B,"平均")</f>
        <v>5</v>
      </c>
      <c r="E20" s="86">
        <f>SUMIFS('0310 4度C'!$AC:$AC,'0310 4度C'!$A:$A,"新豐2線",'0310 4度C'!$B:$B,"平均")</f>
        <v>3</v>
      </c>
      <c r="F20" s="86">
        <f>SUMIFS('0310 4度C'!$AC:$AC,'0310 4度C'!$A:$A,"新豐5線",'0310 4度C'!$B:$B,"平均")</f>
        <v>5</v>
      </c>
      <c r="G20" s="86">
        <f>SUMIFS('0310 4度C'!$AC:$AC,'0310 4度C'!$A:$A,"新豐7線",'0310 4度C'!$B:$B,"平均")</f>
        <v>6</v>
      </c>
      <c r="H20" s="86">
        <f>SUMIFS('0310 4度C'!$AC:$AC,'0310 4度C'!$A:$A,"新豐3線",'0310 4度C'!$B:$B,"平均")</f>
        <v>9</v>
      </c>
      <c r="I20" s="86">
        <f>SUMIFS('0310 4度C'!$AC:$AC,'0310 4度C'!$A:$A,"新豐1線",'0310 4度C'!$B:$B,"平均")</f>
        <v>9</v>
      </c>
      <c r="J20" s="87">
        <f>SUMIFS('0310 4度C'!$AC:$AC,'0310 4度C'!$A:$A,"新豐10線",'0310 4度C'!$B:$B,"平均")</f>
        <v>4</v>
      </c>
      <c r="K20" s="88">
        <f>SUMIFS('0310 4度C'!$AC:$AC,'0310 4度C'!$A:$A,"新豐8線",'0310 4度C'!$B:$B,"平均")</f>
        <v>9</v>
      </c>
      <c r="L20" s="86">
        <f>SUMIFS('0310 4度C'!$AC:$AC,'0310 4度C'!$A:$A,"新豐9線",'0310 4度C'!$B:$B,"平均")</f>
        <v>8</v>
      </c>
      <c r="M20" s="87">
        <f>SUMIFS('0310 4度C'!$AC:$AC,'0310 4度C'!$A:$A,"新豐4線",'0310 4度C'!$B:$B,"平均")</f>
        <v>5</v>
      </c>
    </row>
    <row r="21" spans="2:13" ht="17.25" customHeight="1">
      <c r="B21" s="102"/>
      <c r="C21" s="84" t="s">
        <v>943</v>
      </c>
      <c r="D21" s="85">
        <f>SUMIFS('0310 4度C'!$AD:$AD,'0310 4度C'!$A:$A,"新豐6線",'0310 4度C'!$B:$B,"平均")</f>
        <v>0</v>
      </c>
      <c r="E21" s="86">
        <f>SUMIFS('0310 4度C'!$AD:$AD,'0310 4度C'!$A:$A,"新豐2線",'0310 4度C'!$B:$B,"平均")</f>
        <v>0</v>
      </c>
      <c r="F21" s="86">
        <f>SUMIFS('0310 4度C'!$AD:$AD,'0310 4度C'!$A:$A,"新豐5線",'0310 4度C'!$B:$B,"平均")</f>
        <v>0</v>
      </c>
      <c r="G21" s="86">
        <f>SUMIFS('0310 4度C'!$AD:$AD,'0310 4度C'!$A:$A,"新豐7線",'0310 4度C'!$B:$B,"平均")</f>
        <v>0</v>
      </c>
      <c r="H21" s="86">
        <f>SUMIFS('0310 4度C'!$AD:$AD,'0310 4度C'!$A:$A,"新豐3線",'0310 4度C'!$B:$B,"平均")</f>
        <v>0</v>
      </c>
      <c r="I21" s="86">
        <f>SUMIFS('0310 4度C'!$AD:$AD,'0310 4度C'!$A:$A,"新豐1線",'0310 4度C'!$B:$B,"平均")</f>
        <v>0</v>
      </c>
      <c r="J21" s="87">
        <f>SUMIFS('0310 4度C'!$AD:$AD,'0310 4度C'!$A:$A,"新豐10線",'0310 4度C'!$B:$B,"平均")</f>
        <v>0</v>
      </c>
      <c r="K21" s="88">
        <f>SUMIFS('0310 4度C'!$AD:$AD,'0310 4度C'!$A:$A,"新豐8線",'0310 4度C'!$B:$B,"平均")</f>
        <v>0</v>
      </c>
      <c r="L21" s="86">
        <f>SUMIFS('0310 4度C'!$AD:$AD,'0310 4度C'!$A:$A,"新豐9線",'0310 4度C'!$B:$B,"平均")</f>
        <v>0</v>
      </c>
      <c r="M21" s="87">
        <f>SUMIFS('0310 4度C'!$AD:$AD,'0310 4度C'!$A:$A,"新豐4線",'0310 4度C'!$B:$B,"平均")</f>
        <v>0</v>
      </c>
    </row>
    <row r="22" spans="2:13" ht="17.25" customHeight="1">
      <c r="B22" s="103" t="s">
        <v>944</v>
      </c>
      <c r="C22" s="104"/>
      <c r="D22" s="89">
        <f>SUMIFS('0310 4度C'!$I:$I,'0310 4度C'!$A:$A,"新豐6線",'0310 4度C'!$B:$B,"平均")</f>
        <v>17.8</v>
      </c>
      <c r="E22" s="90">
        <f>SUMIFS('0310 4度C'!$I:$I,'0310 4度C'!$A:$A,"新豐2線",'0310 4度C'!$B:$B,"平均")</f>
        <v>17.666666666666668</v>
      </c>
      <c r="F22" s="90">
        <f>SUMIFS('0310 4度C'!$I:$I,'0310 4度C'!$A:$A,"新豐5線",'0310 4度C'!$B:$B,"平均")</f>
        <v>17.399999999999999</v>
      </c>
      <c r="G22" s="90">
        <f>SUMIFS('0310 4度C'!$I:$I,'0310 4度C'!$A:$A,"新豐7線",'0310 4度C'!$B:$B,"平均")</f>
        <v>15</v>
      </c>
      <c r="H22" s="90">
        <f>SUMIFS('0310 4度C'!$I:$I,'0310 4度C'!$A:$A,"新豐3線",'0310 4度C'!$B:$B,"平均")</f>
        <v>9.5555555555555554</v>
      </c>
      <c r="I22" s="90">
        <f>SUMIFS('0310 4度C'!$I:$I,'0310 4度C'!$A:$A,"新豐1線",'0310 4度C'!$B:$B,"平均")</f>
        <v>18.666666666666668</v>
      </c>
      <c r="J22" s="91">
        <f>SUMIFS('0310 4度C'!$I:$I,'0310 4度C'!$A:$A,"新豐10線",'0310 4度C'!$B:$B,"平均")</f>
        <v>10</v>
      </c>
      <c r="K22" s="89">
        <f>SUMIFS('0310 4度C'!$I:$I,'0310 4度C'!$A:$A,"新豐8線",'0310 4度C'!$B:$B,"平均")</f>
        <v>17.666666666666668</v>
      </c>
      <c r="L22" s="90">
        <f>SUMIFS('0310 4度C'!$I:$I,'0310 4度C'!$A:$A,"新豐9線",'0310 4度C'!$B:$B,"平均")</f>
        <v>17.5</v>
      </c>
      <c r="M22" s="91">
        <f>SUMIFS('0310 4度C'!$I:$I,'0310 4度C'!$A:$A,"新豐4線",'0310 4度C'!$B:$B,"平均")</f>
        <v>15.2</v>
      </c>
    </row>
    <row r="23" spans="2:13" ht="17.25" customHeight="1">
      <c r="B23" s="103" t="s">
        <v>945</v>
      </c>
      <c r="C23" s="104"/>
      <c r="D23" s="92" t="s">
        <v>185</v>
      </c>
      <c r="E23" s="93" t="s">
        <v>186</v>
      </c>
      <c r="F23" s="93" t="s">
        <v>946</v>
      </c>
      <c r="G23" s="93" t="s">
        <v>946</v>
      </c>
      <c r="H23" s="93" t="s">
        <v>188</v>
      </c>
      <c r="I23" s="93" t="s">
        <v>185</v>
      </c>
      <c r="J23" s="94" t="s">
        <v>188</v>
      </c>
      <c r="K23" s="92" t="s">
        <v>189</v>
      </c>
      <c r="L23" s="93" t="s">
        <v>947</v>
      </c>
      <c r="M23" s="94" t="s">
        <v>947</v>
      </c>
    </row>
    <row r="24" spans="2:13" ht="17.25" customHeight="1">
      <c r="B24" s="103" t="s">
        <v>948</v>
      </c>
      <c r="C24" s="104"/>
      <c r="D24" s="92"/>
      <c r="E24" s="93"/>
      <c r="F24" s="93" t="s">
        <v>949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950</v>
      </c>
      <c r="C25" s="106"/>
      <c r="D25" s="95"/>
      <c r="E25" s="96" t="s">
        <v>951</v>
      </c>
      <c r="F25" s="99" t="s">
        <v>952</v>
      </c>
      <c r="G25" s="100"/>
      <c r="H25" s="96" t="s">
        <v>953</v>
      </c>
      <c r="I25" s="96" t="s">
        <v>954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G6" sqref="G6:H6"/>
      <selection pane="bottomLeft" activeCell="G6" sqref="G6:H6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955</v>
      </c>
      <c r="B1" s="1"/>
      <c r="C1" s="2" t="s">
        <v>956</v>
      </c>
      <c r="D1" s="3">
        <f>SUM(F5:F77)</f>
        <v>165900</v>
      </c>
      <c r="E1" s="4" t="s">
        <v>2</v>
      </c>
      <c r="F1" s="1">
        <f>SUM(G5:G77)</f>
        <v>5504931.0600000005</v>
      </c>
      <c r="G1" s="1" t="s">
        <v>3</v>
      </c>
      <c r="H1" s="5">
        <f>L10+L14+L56+L66+L20+L71+L37+L46+L27+L77</f>
        <v>156.45555555555558</v>
      </c>
      <c r="I1" s="212" t="s">
        <v>957</v>
      </c>
      <c r="J1" s="212"/>
      <c r="K1" s="212"/>
      <c r="L1" s="212" t="s">
        <v>958</v>
      </c>
      <c r="M1" s="212"/>
      <c r="N1" s="212"/>
      <c r="O1" s="212" t="s">
        <v>6</v>
      </c>
      <c r="P1" s="212"/>
      <c r="Q1" s="212"/>
      <c r="R1" s="212"/>
      <c r="S1" s="212" t="s">
        <v>7</v>
      </c>
      <c r="T1" s="212"/>
      <c r="U1" s="212"/>
      <c r="V1" s="212"/>
      <c r="W1" s="212"/>
      <c r="X1" s="212"/>
      <c r="Y1" s="6" t="s">
        <v>460</v>
      </c>
      <c r="Z1" s="7" t="s">
        <v>959</v>
      </c>
      <c r="AA1" s="213" t="s">
        <v>10</v>
      </c>
      <c r="AB1" s="213"/>
      <c r="AC1" s="42" t="s">
        <v>460</v>
      </c>
      <c r="AD1" s="7" t="s">
        <v>11</v>
      </c>
      <c r="AE1" s="212" t="s">
        <v>960</v>
      </c>
      <c r="AF1" s="214"/>
      <c r="AG1" s="214"/>
    </row>
    <row r="2" spans="1:33" ht="26.25" customHeight="1">
      <c r="A2" s="33">
        <v>46091</v>
      </c>
      <c r="B2" s="34" t="s">
        <v>303</v>
      </c>
      <c r="C2" s="2" t="s">
        <v>13</v>
      </c>
      <c r="D2" s="9">
        <f>AVERAGE(N10,N14,N56,N66,N20,N71,N27,N37,N46,N77)</f>
        <v>144.91642739037962</v>
      </c>
      <c r="E2" s="10" t="s">
        <v>14</v>
      </c>
      <c r="F2" s="11">
        <f>F1/D1</f>
        <v>33.182224593128396</v>
      </c>
      <c r="G2" s="1" t="s">
        <v>361</v>
      </c>
      <c r="H2" s="12">
        <f>COUNT(H5:H77)</f>
        <v>14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SUM(Y10+Y14+Y20+Y27+Y37+Y46+Y56+Y66+Y71+Y77)</f>
        <v>0</v>
      </c>
      <c r="Z2" s="13">
        <f>SUM(Z10+Z14+Z20+Z27+Z37+Z46+Z56+Z66+Z71+Z77)</f>
        <v>0</v>
      </c>
      <c r="AA2" s="213"/>
      <c r="AB2" s="213"/>
      <c r="AC2" s="13">
        <v>63</v>
      </c>
      <c r="AD2" s="13">
        <f>SUM(AD10+AD14+AD20+AD27+AD37+AD46+AD56+AD66+AD71+AD77)</f>
        <v>0</v>
      </c>
      <c r="AE2" s="214"/>
      <c r="AF2" s="214"/>
      <c r="AG2" s="214"/>
    </row>
    <row r="3" spans="1:33" ht="40.5" customHeight="1">
      <c r="A3" s="162" t="s">
        <v>961</v>
      </c>
      <c r="B3" s="162" t="s">
        <v>363</v>
      </c>
      <c r="C3" s="162" t="s">
        <v>18</v>
      </c>
      <c r="D3" s="162"/>
      <c r="E3" s="210" t="s">
        <v>19</v>
      </c>
      <c r="F3" s="162" t="s">
        <v>366</v>
      </c>
      <c r="G3" s="210" t="s">
        <v>21</v>
      </c>
      <c r="H3" s="204" t="s">
        <v>962</v>
      </c>
      <c r="I3" s="202" t="s">
        <v>369</v>
      </c>
      <c r="J3" s="199" t="s">
        <v>963</v>
      </c>
      <c r="K3" s="209" t="s">
        <v>938</v>
      </c>
      <c r="L3" s="202" t="s">
        <v>369</v>
      </c>
      <c r="M3" s="199" t="s">
        <v>24</v>
      </c>
      <c r="N3" s="209" t="s">
        <v>938</v>
      </c>
      <c r="O3" s="202" t="s">
        <v>369</v>
      </c>
      <c r="P3" s="209" t="s">
        <v>13</v>
      </c>
      <c r="Q3" s="200" t="s">
        <v>25</v>
      </c>
      <c r="R3" s="178" t="s">
        <v>26</v>
      </c>
      <c r="S3" s="162" t="s">
        <v>27</v>
      </c>
      <c r="T3" s="162"/>
      <c r="U3" s="204" t="s">
        <v>28</v>
      </c>
      <c r="V3" s="204" t="s">
        <v>964</v>
      </c>
      <c r="W3" s="162" t="s">
        <v>272</v>
      </c>
      <c r="X3" s="162"/>
      <c r="Y3" s="205" t="s">
        <v>375</v>
      </c>
      <c r="Z3" s="166"/>
      <c r="AA3" s="206" t="s">
        <v>965</v>
      </c>
      <c r="AB3" s="207"/>
      <c r="AC3" s="205" t="s">
        <v>33</v>
      </c>
      <c r="AD3" s="166"/>
      <c r="AE3" s="199" t="s">
        <v>966</v>
      </c>
      <c r="AF3" s="200" t="s">
        <v>25</v>
      </c>
      <c r="AG3" s="178" t="s">
        <v>967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39</v>
      </c>
      <c r="X4" s="4" t="s">
        <v>968</v>
      </c>
      <c r="Y4" s="14" t="s">
        <v>969</v>
      </c>
      <c r="Z4" s="14" t="s">
        <v>970</v>
      </c>
      <c r="AA4" s="208"/>
      <c r="AB4" s="207"/>
      <c r="AC4" s="14" t="s">
        <v>971</v>
      </c>
      <c r="AD4" s="14" t="s">
        <v>972</v>
      </c>
      <c r="AE4" s="199"/>
      <c r="AF4" s="200"/>
      <c r="AG4" s="178"/>
    </row>
    <row r="5" spans="1:33">
      <c r="A5" s="201" t="s">
        <v>45</v>
      </c>
      <c r="B5" s="35" t="s">
        <v>78</v>
      </c>
      <c r="C5" s="203" t="s">
        <v>79</v>
      </c>
      <c r="D5" s="203"/>
      <c r="E5" s="35">
        <v>50.67</v>
      </c>
      <c r="F5" s="4">
        <v>1555</v>
      </c>
      <c r="G5" s="4">
        <f t="shared" ref="G5:G9" si="0">E5*F5</f>
        <v>78791.850000000006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1904.0816326530619</v>
      </c>
      <c r="N5" s="16">
        <f t="shared" ref="N5:N68" si="3">M5/L5</f>
        <v>112.00480192076834</v>
      </c>
      <c r="O5" s="18">
        <f t="shared" ref="O5:O68" si="4">L5-I5</f>
        <v>0</v>
      </c>
      <c r="P5" s="19">
        <f t="shared" ref="P5:P68" si="5">N5-K5</f>
        <v>-5.6422569027610621</v>
      </c>
      <c r="Q5" s="20">
        <f t="shared" ref="Q5:Q68" si="6">N5/K5</f>
        <v>0.95204081632653093</v>
      </c>
      <c r="R5" s="170">
        <f>Q10</f>
        <v>0.96455573851614296</v>
      </c>
      <c r="S5" s="27">
        <v>0.70833333333333337</v>
      </c>
      <c r="T5" s="27">
        <v>0.74236111111111114</v>
      </c>
      <c r="U5" s="4"/>
      <c r="V5" s="21">
        <f t="shared" ref="V5:V9" si="7">(T5-S5)*24*60</f>
        <v>48.999999999999986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5" si="8">M5-J5</f>
        <v>-95.918367346938112</v>
      </c>
      <c r="AF5" s="20">
        <f t="shared" ref="AF5:AF68" si="9">M5/J5</f>
        <v>0.95204081632653093</v>
      </c>
      <c r="AG5" s="170">
        <f>AF10</f>
        <v>0.96455573851614307</v>
      </c>
    </row>
    <row r="6" spans="1:33">
      <c r="A6" s="202" t="s">
        <v>45</v>
      </c>
      <c r="B6" s="35" t="s">
        <v>78</v>
      </c>
      <c r="C6" s="203" t="s">
        <v>80</v>
      </c>
      <c r="D6" s="203"/>
      <c r="E6" s="35">
        <v>54.09</v>
      </c>
      <c r="F6" s="4">
        <v>1267</v>
      </c>
      <c r="G6" s="4">
        <f t="shared" si="0"/>
        <v>68532.03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1949.2307692307681</v>
      </c>
      <c r="N6" s="16">
        <f t="shared" si="3"/>
        <v>102.59109311740885</v>
      </c>
      <c r="O6" s="18">
        <f t="shared" si="4"/>
        <v>0</v>
      </c>
      <c r="P6" s="19">
        <f t="shared" si="5"/>
        <v>-2.6720647773279893</v>
      </c>
      <c r="Q6" s="20">
        <f t="shared" si="6"/>
        <v>0.97461538461538411</v>
      </c>
      <c r="R6" s="170"/>
      <c r="S6" s="27">
        <v>0.74652777777777779</v>
      </c>
      <c r="T6" s="27">
        <v>0.77361111111111114</v>
      </c>
      <c r="U6" s="4">
        <f t="shared" ref="U6:U9" si="10">IF(S6=TIME(17,0,0),"",(S6-T5)*24*60)</f>
        <v>5.9999999999999787</v>
      </c>
      <c r="V6" s="21">
        <f t="shared" si="7"/>
        <v>39.000000000000021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-50.769230769231854</v>
      </c>
      <c r="AF6" s="20">
        <f t="shared" si="9"/>
        <v>0.97461538461538411</v>
      </c>
      <c r="AG6" s="170"/>
    </row>
    <row r="7" spans="1:33">
      <c r="A7" s="202" t="s">
        <v>973</v>
      </c>
      <c r="B7" s="35" t="s">
        <v>78</v>
      </c>
      <c r="C7" s="197" t="s">
        <v>81</v>
      </c>
      <c r="D7" s="198"/>
      <c r="E7" s="35">
        <v>50.29</v>
      </c>
      <c r="F7" s="4">
        <v>513</v>
      </c>
      <c r="G7" s="4">
        <f t="shared" si="0"/>
        <v>25798.77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1923.7500000000068</v>
      </c>
      <c r="N7" s="16">
        <f t="shared" si="3"/>
        <v>120.23437500000043</v>
      </c>
      <c r="O7" s="18">
        <f t="shared" si="4"/>
        <v>0</v>
      </c>
      <c r="P7" s="19">
        <f t="shared" si="5"/>
        <v>-4.7656249999995737</v>
      </c>
      <c r="Q7" s="20">
        <f t="shared" si="6"/>
        <v>0.96187500000000337</v>
      </c>
      <c r="R7" s="170"/>
      <c r="S7" s="27">
        <v>0.77916666666666667</v>
      </c>
      <c r="T7" s="27">
        <v>0.79027777777777775</v>
      </c>
      <c r="U7" s="4">
        <f t="shared" si="10"/>
        <v>7.9999999999999716</v>
      </c>
      <c r="V7" s="21">
        <f t="shared" si="7"/>
        <v>15.999999999999943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-76.249999999993179</v>
      </c>
      <c r="AF7" s="20">
        <f t="shared" si="9"/>
        <v>0.96187500000000337</v>
      </c>
      <c r="AG7" s="170"/>
    </row>
    <row r="8" spans="1:33">
      <c r="A8" s="202" t="s">
        <v>45</v>
      </c>
      <c r="B8" s="35" t="s">
        <v>78</v>
      </c>
      <c r="C8" s="197" t="s">
        <v>82</v>
      </c>
      <c r="D8" s="198"/>
      <c r="E8" s="35">
        <v>50.67</v>
      </c>
      <c r="F8" s="4">
        <v>412</v>
      </c>
      <c r="G8" s="4">
        <f t="shared" si="0"/>
        <v>20876.04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1901.5384615384683</v>
      </c>
      <c r="N8" s="16">
        <f t="shared" si="3"/>
        <v>90.549450549450867</v>
      </c>
      <c r="O8" s="18">
        <f t="shared" si="4"/>
        <v>0</v>
      </c>
      <c r="P8" s="19">
        <f t="shared" si="5"/>
        <v>-4.6886446886443736</v>
      </c>
      <c r="Q8" s="20">
        <f t="shared" si="6"/>
        <v>0.95076923076923403</v>
      </c>
      <c r="R8" s="170"/>
      <c r="S8" s="27">
        <v>0.7944444444444444</v>
      </c>
      <c r="T8" s="27">
        <v>0.80347222222222214</v>
      </c>
      <c r="U8" s="4">
        <f t="shared" si="10"/>
        <v>5.9999999999999787</v>
      </c>
      <c r="V8" s="21">
        <f t="shared" si="7"/>
        <v>12.999999999999954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-98.461538461531745</v>
      </c>
      <c r="AF8" s="20">
        <f t="shared" si="9"/>
        <v>0.95076923076923414</v>
      </c>
      <c r="AG8" s="170"/>
    </row>
    <row r="9" spans="1:33">
      <c r="A9" s="202" t="s">
        <v>974</v>
      </c>
      <c r="B9" s="35" t="s">
        <v>78</v>
      </c>
      <c r="C9" s="197" t="s">
        <v>83</v>
      </c>
      <c r="D9" s="198"/>
      <c r="E9" s="35">
        <v>50.67</v>
      </c>
      <c r="F9" s="4">
        <v>754</v>
      </c>
      <c r="G9" s="4">
        <f t="shared" si="0"/>
        <v>38205.18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1966.9565217391239</v>
      </c>
      <c r="N9" s="16">
        <f t="shared" si="3"/>
        <v>122.93478260869524</v>
      </c>
      <c r="O9" s="18">
        <f t="shared" si="4"/>
        <v>0</v>
      </c>
      <c r="P9" s="19">
        <f t="shared" si="5"/>
        <v>-2.0652173913047562</v>
      </c>
      <c r="Q9" s="20">
        <f t="shared" si="6"/>
        <v>0.98347826086956192</v>
      </c>
      <c r="R9" s="170"/>
      <c r="S9" s="27">
        <v>0.80694444444444435</v>
      </c>
      <c r="T9" s="27">
        <v>0.82291666666666663</v>
      </c>
      <c r="U9" s="4">
        <f t="shared" si="10"/>
        <v>4.9999999999999822</v>
      </c>
      <c r="V9" s="21">
        <f t="shared" si="7"/>
        <v>23.000000000000078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-33.0434782608761</v>
      </c>
      <c r="AF9" s="20">
        <f t="shared" si="9"/>
        <v>0.98347826086956192</v>
      </c>
      <c r="AG9" s="170"/>
    </row>
    <row r="10" spans="1:33">
      <c r="A10" s="202" t="s">
        <v>975</v>
      </c>
      <c r="B10" s="35" t="s">
        <v>48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1929.1114770322861</v>
      </c>
      <c r="N10" s="16">
        <f t="shared" si="3"/>
        <v>108.37704927147674</v>
      </c>
      <c r="O10" s="18">
        <f t="shared" si="4"/>
        <v>0</v>
      </c>
      <c r="P10" s="19">
        <f t="shared" si="5"/>
        <v>-3.9825012903210109</v>
      </c>
      <c r="Q10" s="20">
        <f t="shared" si="6"/>
        <v>0.96455573851614296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-70.888522967713925</v>
      </c>
      <c r="AF10" s="20">
        <f t="shared" si="9"/>
        <v>0.96455573851614307</v>
      </c>
      <c r="AG10" s="170"/>
    </row>
    <row r="11" spans="1:33" ht="15.75" customHeight="1">
      <c r="A11" s="196" t="s">
        <v>976</v>
      </c>
      <c r="B11" s="35" t="s">
        <v>84</v>
      </c>
      <c r="C11" s="197" t="s">
        <v>85</v>
      </c>
      <c r="D11" s="198"/>
      <c r="E11" s="35">
        <v>39.619999999999997</v>
      </c>
      <c r="F11" s="4">
        <v>4393</v>
      </c>
      <c r="G11" s="4">
        <f t="shared" ref="G11:G13" si="11">E11*F11</f>
        <v>174050.65999999997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3" si="12">F11/V11*60</f>
        <v>1432.4999999999998</v>
      </c>
      <c r="N11" s="16">
        <f t="shared" si="3"/>
        <v>75.394736842105246</v>
      </c>
      <c r="O11" s="18">
        <f t="shared" si="4"/>
        <v>0</v>
      </c>
      <c r="P11" s="19">
        <f t="shared" si="5"/>
        <v>-3.5526315789473841</v>
      </c>
      <c r="Q11" s="20">
        <f t="shared" si="6"/>
        <v>0.95499999999999985</v>
      </c>
      <c r="R11" s="170">
        <f>Q14</f>
        <v>0.95459244959244993</v>
      </c>
      <c r="S11" s="27">
        <v>0.20833333333333334</v>
      </c>
      <c r="T11" s="27">
        <v>0.33611111111111114</v>
      </c>
      <c r="U11" s="4"/>
      <c r="V11" s="21">
        <f t="shared" ref="V11:V13" si="13">(T11-S11)*24*60</f>
        <v>184.00000000000003</v>
      </c>
      <c r="W11" s="22"/>
      <c r="X11" s="22"/>
      <c r="Y11" s="22"/>
      <c r="Z11" s="22"/>
      <c r="AA11" s="162"/>
      <c r="AB11" s="162"/>
      <c r="AC11" s="24">
        <v>3</v>
      </c>
      <c r="AD11" s="24"/>
      <c r="AE11" s="18">
        <f t="shared" si="8"/>
        <v>-67.500000000000227</v>
      </c>
      <c r="AF11" s="20">
        <f t="shared" si="9"/>
        <v>0.95499999999999985</v>
      </c>
      <c r="AG11" s="170">
        <f>AF14</f>
        <v>0.95459244959244993</v>
      </c>
    </row>
    <row r="12" spans="1:33" ht="15.75" customHeight="1">
      <c r="A12" s="196" t="s">
        <v>977</v>
      </c>
      <c r="B12" s="35" t="s">
        <v>84</v>
      </c>
      <c r="C12" s="197" t="s">
        <v>86</v>
      </c>
      <c r="D12" s="198"/>
      <c r="E12" s="35">
        <v>39.799999999999997</v>
      </c>
      <c r="F12" s="4">
        <v>4500</v>
      </c>
      <c r="G12" s="4">
        <f t="shared" si="11"/>
        <v>179100</v>
      </c>
      <c r="H12" s="21">
        <v>2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1428.5714285714289</v>
      </c>
      <c r="N12" s="16">
        <f t="shared" si="3"/>
        <v>84.033613445378165</v>
      </c>
      <c r="O12" s="18">
        <f t="shared" si="4"/>
        <v>0</v>
      </c>
      <c r="P12" s="19">
        <f t="shared" si="5"/>
        <v>-4.2016806722688926</v>
      </c>
      <c r="Q12" s="20">
        <f t="shared" si="6"/>
        <v>0.95238095238095255</v>
      </c>
      <c r="R12" s="170"/>
      <c r="S12" s="27">
        <v>0.34027777777777779</v>
      </c>
      <c r="T12" s="27">
        <v>0.47152777777777777</v>
      </c>
      <c r="U12" s="4">
        <f t="shared" ref="U12:U13" si="14">IF(S12=TIME(17,0,0),"",(S12-T11)*24*60)</f>
        <v>5.9999999999999787</v>
      </c>
      <c r="V12" s="21">
        <f t="shared" si="13"/>
        <v>188.99999999999997</v>
      </c>
      <c r="W12" s="22">
        <f>T12</f>
        <v>0.47152777777777777</v>
      </c>
      <c r="X12" s="22">
        <f>S13</f>
        <v>0.51180555555555551</v>
      </c>
      <c r="Y12" s="22"/>
      <c r="Z12" s="22"/>
      <c r="AA12" s="162"/>
      <c r="AB12" s="162"/>
      <c r="AC12" s="24"/>
      <c r="AD12" s="24"/>
      <c r="AE12" s="18">
        <f t="shared" si="8"/>
        <v>-71.428571428571104</v>
      </c>
      <c r="AF12" s="20">
        <f t="shared" si="9"/>
        <v>0.95238095238095255</v>
      </c>
      <c r="AG12" s="170"/>
    </row>
    <row r="13" spans="1:33" ht="15.75" customHeight="1">
      <c r="A13" s="196" t="s">
        <v>978</v>
      </c>
      <c r="B13" s="35" t="s">
        <v>84</v>
      </c>
      <c r="C13" s="197" t="s">
        <v>86</v>
      </c>
      <c r="D13" s="198"/>
      <c r="E13" s="35">
        <v>39.799999999999997</v>
      </c>
      <c r="F13" s="4">
        <v>2654</v>
      </c>
      <c r="G13" s="4">
        <f t="shared" si="11"/>
        <v>105629.2</v>
      </c>
      <c r="H13" s="21" t="s">
        <v>133</v>
      </c>
      <c r="I13" s="15">
        <v>17</v>
      </c>
      <c r="J13" s="17">
        <v>1500</v>
      </c>
      <c r="K13" s="16">
        <f t="shared" si="1"/>
        <v>88.235294117647058</v>
      </c>
      <c r="L13" s="15">
        <v>17</v>
      </c>
      <c r="M13" s="17">
        <f t="shared" si="12"/>
        <v>1434.5945945945955</v>
      </c>
      <c r="N13" s="16">
        <f t="shared" si="3"/>
        <v>84.387917329093852</v>
      </c>
      <c r="O13" s="18">
        <f t="shared" si="4"/>
        <v>0</v>
      </c>
      <c r="P13" s="19">
        <f t="shared" si="5"/>
        <v>-3.8473767885532055</v>
      </c>
      <c r="Q13" s="20">
        <f t="shared" si="6"/>
        <v>0.95639639639639695</v>
      </c>
      <c r="R13" s="170"/>
      <c r="S13" s="27">
        <v>0.51180555555555551</v>
      </c>
      <c r="T13" s="27">
        <v>0.5888888888888888</v>
      </c>
      <c r="U13" s="4">
        <f t="shared" si="14"/>
        <v>57.999999999999957</v>
      </c>
      <c r="V13" s="21">
        <f t="shared" si="13"/>
        <v>110.99999999999993</v>
      </c>
      <c r="W13" s="22"/>
      <c r="X13" s="22"/>
      <c r="Y13" s="22"/>
      <c r="Z13" s="22"/>
      <c r="AA13" s="162"/>
      <c r="AB13" s="162"/>
      <c r="AC13" s="24"/>
      <c r="AD13" s="24"/>
      <c r="AE13" s="18">
        <f t="shared" si="8"/>
        <v>-65.405405405404508</v>
      </c>
      <c r="AF13" s="20">
        <f t="shared" si="9"/>
        <v>0.95639639639639695</v>
      </c>
      <c r="AG13" s="170"/>
    </row>
    <row r="14" spans="1:33" ht="16.5" customHeight="1">
      <c r="A14" s="196" t="s">
        <v>978</v>
      </c>
      <c r="B14" s="35" t="s">
        <v>48</v>
      </c>
      <c r="C14" s="171"/>
      <c r="D14" s="171"/>
      <c r="E14" s="36"/>
      <c r="F14" s="17"/>
      <c r="G14" s="17"/>
      <c r="H14" s="4"/>
      <c r="I14" s="29">
        <v>17.666666666666668</v>
      </c>
      <c r="J14" s="17">
        <v>1500</v>
      </c>
      <c r="K14" s="16">
        <f t="shared" si="1"/>
        <v>84.905660377358487</v>
      </c>
      <c r="L14" s="29">
        <v>17.666666666666668</v>
      </c>
      <c r="M14" s="17">
        <f>AVERAGE(M11:M13)</f>
        <v>1431.8886743886749</v>
      </c>
      <c r="N14" s="16">
        <f t="shared" si="3"/>
        <v>81.050302323887252</v>
      </c>
      <c r="O14" s="18">
        <f t="shared" si="4"/>
        <v>0</v>
      </c>
      <c r="P14" s="19">
        <f t="shared" si="5"/>
        <v>-3.8553580534712353</v>
      </c>
      <c r="Q14" s="20">
        <f t="shared" si="6"/>
        <v>0.95459244959244993</v>
      </c>
      <c r="R14" s="170"/>
      <c r="S14" s="27"/>
      <c r="T14" s="27"/>
      <c r="U14" s="16"/>
      <c r="V14" s="21"/>
      <c r="W14" s="16"/>
      <c r="X14" s="16"/>
      <c r="Y14" s="30">
        <f>SUM(Y11:Y13)</f>
        <v>0</v>
      </c>
      <c r="Z14" s="30">
        <f>SUM(Z11:Z13)</f>
        <v>0</v>
      </c>
      <c r="AA14" s="166"/>
      <c r="AB14" s="166"/>
      <c r="AC14" s="30">
        <v>3</v>
      </c>
      <c r="AD14" s="30">
        <f>SUM(AD11:AD13)</f>
        <v>0</v>
      </c>
      <c r="AE14" s="18">
        <f t="shared" si="8"/>
        <v>-68.111325611325128</v>
      </c>
      <c r="AF14" s="20">
        <f t="shared" si="9"/>
        <v>0.95459244959244993</v>
      </c>
      <c r="AG14" s="170"/>
    </row>
    <row r="15" spans="1:33" ht="16.5" customHeight="1">
      <c r="A15" s="194" t="s">
        <v>50</v>
      </c>
      <c r="B15" s="4" t="s">
        <v>87</v>
      </c>
      <c r="C15" s="190" t="s">
        <v>88</v>
      </c>
      <c r="D15" s="190"/>
      <c r="E15" s="35">
        <v>41</v>
      </c>
      <c r="F15" s="4">
        <v>3286</v>
      </c>
      <c r="G15" s="4">
        <f t="shared" ref="G15:G19" si="15">E15*F15</f>
        <v>134726</v>
      </c>
      <c r="H15" s="21" t="s">
        <v>133</v>
      </c>
      <c r="I15" s="15">
        <v>26</v>
      </c>
      <c r="J15" s="17">
        <v>1500</v>
      </c>
      <c r="K15" s="16">
        <f t="shared" si="1"/>
        <v>57.692307692307693</v>
      </c>
      <c r="L15" s="15">
        <v>26</v>
      </c>
      <c r="M15" s="17">
        <f t="shared" ref="M15:M19" si="16">F15/V15*60</f>
        <v>1428.6956521739123</v>
      </c>
      <c r="N15" s="16">
        <f t="shared" si="3"/>
        <v>54.949832775919702</v>
      </c>
      <c r="O15" s="18">
        <f t="shared" si="4"/>
        <v>0</v>
      </c>
      <c r="P15" s="19">
        <f t="shared" si="5"/>
        <v>-2.7424749163879909</v>
      </c>
      <c r="Q15" s="20">
        <f t="shared" si="6"/>
        <v>0.95246376811594147</v>
      </c>
      <c r="R15" s="170">
        <f>Q20</f>
        <v>0.95846420839085211</v>
      </c>
      <c r="S15" s="27">
        <v>0.20833333333333334</v>
      </c>
      <c r="T15" s="27">
        <v>0.3041666666666667</v>
      </c>
      <c r="U15" s="4"/>
      <c r="V15" s="21">
        <f t="shared" ref="V15:V19" si="17">(T15-S15)*24*60</f>
        <v>138.00000000000006</v>
      </c>
      <c r="W15" s="27"/>
      <c r="X15" s="27"/>
      <c r="Y15" s="27"/>
      <c r="Z15" s="27"/>
      <c r="AA15" s="162"/>
      <c r="AB15" s="162"/>
      <c r="AC15" s="24">
        <v>5</v>
      </c>
      <c r="AD15" s="24"/>
      <c r="AE15" s="18">
        <f t="shared" si="8"/>
        <v>-71.304347826087678</v>
      </c>
      <c r="AF15" s="20">
        <f t="shared" si="9"/>
        <v>0.95246376811594158</v>
      </c>
      <c r="AG15" s="170">
        <f>AF20</f>
        <v>0.95846420839085211</v>
      </c>
    </row>
    <row r="16" spans="1:33" ht="16.5" customHeight="1">
      <c r="A16" s="195" t="s">
        <v>979</v>
      </c>
      <c r="B16" s="4" t="s">
        <v>78</v>
      </c>
      <c r="C16" s="190" t="s">
        <v>89</v>
      </c>
      <c r="D16" s="190"/>
      <c r="E16" s="35">
        <v>50.98</v>
      </c>
      <c r="F16" s="4">
        <v>2736</v>
      </c>
      <c r="G16" s="4">
        <f t="shared" si="15"/>
        <v>139481.28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1908.8372093023254</v>
      </c>
      <c r="N16" s="16">
        <f t="shared" si="3"/>
        <v>119.30232558139534</v>
      </c>
      <c r="O16" s="18">
        <f t="shared" si="4"/>
        <v>0</v>
      </c>
      <c r="P16" s="19">
        <f t="shared" si="5"/>
        <v>-5.6976744186046631</v>
      </c>
      <c r="Q16" s="20">
        <f t="shared" si="6"/>
        <v>0.95441860465116268</v>
      </c>
      <c r="R16" s="170"/>
      <c r="S16" s="27">
        <v>0.70833333333333337</v>
      </c>
      <c r="T16" s="27">
        <v>0.7680555555555556</v>
      </c>
      <c r="U16" s="4" t="str">
        <f t="shared" ref="U16:U19" si="18">IF(S16=TIME(17,0,0),"",(S16-T15)*24*60)</f>
        <v/>
      </c>
      <c r="V16" s="21">
        <f t="shared" si="17"/>
        <v>86.000000000000014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-91.162790697674609</v>
      </c>
      <c r="AF16" s="20">
        <f t="shared" si="9"/>
        <v>0.95441860465116268</v>
      </c>
      <c r="AG16" s="170"/>
    </row>
    <row r="17" spans="1:33" ht="16.5" customHeight="1">
      <c r="A17" s="195" t="s">
        <v>979</v>
      </c>
      <c r="B17" s="4" t="s">
        <v>78</v>
      </c>
      <c r="C17" s="190" t="s">
        <v>90</v>
      </c>
      <c r="D17" s="190"/>
      <c r="E17" s="35">
        <v>50.92</v>
      </c>
      <c r="F17" s="4">
        <v>1000</v>
      </c>
      <c r="G17" s="4">
        <f t="shared" si="15"/>
        <v>50920</v>
      </c>
      <c r="H17" s="21">
        <v>2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1935.483870967739</v>
      </c>
      <c r="N17" s="16">
        <f t="shared" si="3"/>
        <v>129.03225806451593</v>
      </c>
      <c r="O17" s="18">
        <f t="shared" si="4"/>
        <v>0</v>
      </c>
      <c r="P17" s="19">
        <f t="shared" si="5"/>
        <v>-4.3010752688174136</v>
      </c>
      <c r="Q17" s="20">
        <f t="shared" si="6"/>
        <v>0.96774193548386944</v>
      </c>
      <c r="R17" s="170"/>
      <c r="S17" s="27">
        <v>0.7729166666666667</v>
      </c>
      <c r="T17" s="27">
        <v>0.79444444444444451</v>
      </c>
      <c r="U17" s="4">
        <f t="shared" si="18"/>
        <v>6.9999999999999751</v>
      </c>
      <c r="V17" s="21">
        <f t="shared" si="17"/>
        <v>31.00000000000005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-64.516129032261006</v>
      </c>
      <c r="AF17" s="20">
        <f t="shared" si="9"/>
        <v>0.96774193548386944</v>
      </c>
      <c r="AG17" s="170"/>
    </row>
    <row r="18" spans="1:33" ht="16.5" customHeight="1">
      <c r="A18" s="195" t="s">
        <v>50</v>
      </c>
      <c r="B18" s="4" t="s">
        <v>78</v>
      </c>
      <c r="C18" s="190" t="s">
        <v>91</v>
      </c>
      <c r="D18" s="190"/>
      <c r="E18" s="35">
        <v>50.67</v>
      </c>
      <c r="F18" s="4">
        <v>1820</v>
      </c>
      <c r="G18" s="4">
        <f t="shared" si="15"/>
        <v>92219.400000000009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1915.789473684212</v>
      </c>
      <c r="N18" s="16">
        <f t="shared" si="3"/>
        <v>127.71929824561413</v>
      </c>
      <c r="O18" s="18">
        <f t="shared" si="4"/>
        <v>0</v>
      </c>
      <c r="P18" s="19">
        <f t="shared" si="5"/>
        <v>-5.6140350877192162</v>
      </c>
      <c r="Q18" s="20">
        <f t="shared" si="6"/>
        <v>0.95789473684210591</v>
      </c>
      <c r="R18" s="170"/>
      <c r="S18" s="27">
        <v>0.79861111111111116</v>
      </c>
      <c r="T18" s="27">
        <v>0.83819444444444446</v>
      </c>
      <c r="U18" s="4">
        <f t="shared" si="18"/>
        <v>5.9999999999999787</v>
      </c>
      <c r="V18" s="21">
        <f t="shared" si="17"/>
        <v>56.999999999999957</v>
      </c>
      <c r="W18" s="22">
        <f>T18</f>
        <v>0.83819444444444446</v>
      </c>
      <c r="X18" s="22">
        <f>S19</f>
        <v>0.87847222222222221</v>
      </c>
      <c r="Y18" s="22"/>
      <c r="Z18" s="22"/>
      <c r="AA18" s="162"/>
      <c r="AB18" s="162"/>
      <c r="AC18" s="24"/>
      <c r="AD18" s="24"/>
      <c r="AE18" s="18">
        <f t="shared" si="8"/>
        <v>-84.210526315788002</v>
      </c>
      <c r="AF18" s="20">
        <f t="shared" si="9"/>
        <v>0.95789473684210602</v>
      </c>
      <c r="AG18" s="170"/>
    </row>
    <row r="19" spans="1:33" ht="16.5" customHeight="1">
      <c r="A19" s="195" t="s">
        <v>979</v>
      </c>
      <c r="B19" s="4" t="s">
        <v>78</v>
      </c>
      <c r="C19" s="190" t="s">
        <v>90</v>
      </c>
      <c r="D19" s="190"/>
      <c r="E19" s="35">
        <v>50.92</v>
      </c>
      <c r="F19" s="4">
        <v>1693</v>
      </c>
      <c r="G19" s="4">
        <f t="shared" si="15"/>
        <v>86207.56</v>
      </c>
      <c r="H19" s="21" t="s">
        <v>133</v>
      </c>
      <c r="I19" s="15">
        <v>15</v>
      </c>
      <c r="J19" s="17">
        <v>2000</v>
      </c>
      <c r="K19" s="16">
        <f t="shared" si="1"/>
        <v>133.33333333333334</v>
      </c>
      <c r="L19" s="15">
        <v>15</v>
      </c>
      <c r="M19" s="17">
        <f t="shared" si="16"/>
        <v>1916.6037735849065</v>
      </c>
      <c r="N19" s="16">
        <f t="shared" si="3"/>
        <v>127.77358490566044</v>
      </c>
      <c r="O19" s="18">
        <f t="shared" si="4"/>
        <v>0</v>
      </c>
      <c r="P19" s="19">
        <f t="shared" si="5"/>
        <v>-5.5597484276729006</v>
      </c>
      <c r="Q19" s="20">
        <f t="shared" si="6"/>
        <v>0.95830188679245321</v>
      </c>
      <c r="R19" s="170"/>
      <c r="S19" s="27">
        <v>0.87847222222222221</v>
      </c>
      <c r="T19" s="27">
        <v>0.91527777777777775</v>
      </c>
      <c r="U19" s="4">
        <f t="shared" si="18"/>
        <v>57.999999999999957</v>
      </c>
      <c r="V19" s="21">
        <f t="shared" si="17"/>
        <v>52.999999999999972</v>
      </c>
      <c r="W19" s="22"/>
      <c r="X19" s="22"/>
      <c r="Y19" s="22"/>
      <c r="Z19" s="22"/>
      <c r="AA19" s="162"/>
      <c r="AB19" s="162"/>
      <c r="AC19" s="24"/>
      <c r="AD19" s="24"/>
      <c r="AE19" s="18">
        <f t="shared" si="8"/>
        <v>-83.396226415093452</v>
      </c>
      <c r="AF19" s="20">
        <f t="shared" si="9"/>
        <v>0.95830188679245332</v>
      </c>
      <c r="AG19" s="170"/>
    </row>
    <row r="20" spans="1:33" ht="16.5" customHeight="1">
      <c r="A20" s="195" t="s">
        <v>50</v>
      </c>
      <c r="B20" s="35" t="s">
        <v>48</v>
      </c>
      <c r="C20" s="171"/>
      <c r="D20" s="171"/>
      <c r="E20" s="36"/>
      <c r="F20" s="16"/>
      <c r="G20" s="16"/>
      <c r="H20" s="4"/>
      <c r="I20" s="29">
        <v>17.399999999999999</v>
      </c>
      <c r="J20" s="17">
        <v>1900</v>
      </c>
      <c r="K20" s="16">
        <f t="shared" si="1"/>
        <v>109.19540229885058</v>
      </c>
      <c r="L20" s="29">
        <v>17.399999999999999</v>
      </c>
      <c r="M20" s="17">
        <f>AVERAGE(M15:M19)</f>
        <v>1821.081995942619</v>
      </c>
      <c r="N20" s="16">
        <f t="shared" si="3"/>
        <v>104.65988482428845</v>
      </c>
      <c r="O20" s="18">
        <f t="shared" si="4"/>
        <v>0</v>
      </c>
      <c r="P20" s="19">
        <f t="shared" si="5"/>
        <v>-4.5355174745621269</v>
      </c>
      <c r="Q20" s="20">
        <f t="shared" si="6"/>
        <v>0.95846420839085211</v>
      </c>
      <c r="R20" s="170"/>
      <c r="S20" s="27"/>
      <c r="T20" s="27"/>
      <c r="U20" s="4"/>
      <c r="V20" s="21"/>
      <c r="W20" s="16"/>
      <c r="X20" s="16"/>
      <c r="Y20" s="30">
        <f>SUM(Y15:Y19)</f>
        <v>0</v>
      </c>
      <c r="Z20" s="30">
        <f>SUM(Z15:Z19)</f>
        <v>0</v>
      </c>
      <c r="AA20" s="166"/>
      <c r="AB20" s="166"/>
      <c r="AC20" s="30">
        <v>5</v>
      </c>
      <c r="AD20" s="30">
        <f>SUM(AD15:AD19)</f>
        <v>0</v>
      </c>
      <c r="AE20" s="18">
        <f t="shared" si="8"/>
        <v>-78.91800405738104</v>
      </c>
      <c r="AF20" s="20">
        <f t="shared" si="9"/>
        <v>0.95846420839085211</v>
      </c>
      <c r="AG20" s="170"/>
    </row>
    <row r="21" spans="1:33" ht="15.75" customHeight="1">
      <c r="A21" s="192" t="s">
        <v>393</v>
      </c>
      <c r="B21" s="35" t="s">
        <v>78</v>
      </c>
      <c r="C21" s="190" t="s">
        <v>92</v>
      </c>
      <c r="D21" s="190"/>
      <c r="E21" s="35">
        <v>57.73</v>
      </c>
      <c r="F21" s="4">
        <v>2663</v>
      </c>
      <c r="G21" s="4">
        <f t="shared" ref="G21:G26" si="19">E21*F21</f>
        <v>153734.99</v>
      </c>
      <c r="H21" s="21" t="s">
        <v>133</v>
      </c>
      <c r="I21" s="15">
        <v>14</v>
      </c>
      <c r="J21" s="17">
        <v>2000</v>
      </c>
      <c r="K21" s="16">
        <f t="shared" si="1"/>
        <v>142.85714285714286</v>
      </c>
      <c r="L21" s="15">
        <v>14</v>
      </c>
      <c r="M21" s="17">
        <f t="shared" ref="M21:M26" si="20">F21/V21*60</f>
        <v>1925.0602409638557</v>
      </c>
      <c r="N21" s="16">
        <f t="shared" si="3"/>
        <v>137.50430292598969</v>
      </c>
      <c r="O21" s="18">
        <f t="shared" si="4"/>
        <v>0</v>
      </c>
      <c r="P21" s="19">
        <f t="shared" si="5"/>
        <v>-5.35283993115317</v>
      </c>
      <c r="Q21" s="20">
        <f t="shared" si="6"/>
        <v>0.96253012048192776</v>
      </c>
      <c r="R21" s="170">
        <f>Q27</f>
        <v>0.96093618221471777</v>
      </c>
      <c r="S21" s="27">
        <v>0.20833333333333334</v>
      </c>
      <c r="T21" s="27">
        <v>0.26597222222222222</v>
      </c>
      <c r="U21" s="4"/>
      <c r="V21" s="21">
        <f t="shared" ref="V21:V26" si="21">(T21-S21)*24*60</f>
        <v>82.999999999999986</v>
      </c>
      <c r="W21" s="27"/>
      <c r="X21" s="27"/>
      <c r="Y21" s="27"/>
      <c r="Z21" s="27"/>
      <c r="AA21" s="162"/>
      <c r="AB21" s="162"/>
      <c r="AC21" s="24">
        <v>6</v>
      </c>
      <c r="AD21" s="24"/>
      <c r="AE21" s="18">
        <f t="shared" si="8"/>
        <v>-74.939759036144324</v>
      </c>
      <c r="AF21" s="20">
        <f t="shared" si="9"/>
        <v>0.96253012048192788</v>
      </c>
      <c r="AG21" s="170">
        <f>AF27</f>
        <v>0.96093618221471777</v>
      </c>
    </row>
    <row r="22" spans="1:33" ht="15.75" customHeight="1">
      <c r="A22" s="193" t="s">
        <v>393</v>
      </c>
      <c r="B22" s="35" t="s">
        <v>78</v>
      </c>
      <c r="C22" s="190" t="s">
        <v>93</v>
      </c>
      <c r="D22" s="190"/>
      <c r="E22" s="35">
        <v>53.68</v>
      </c>
      <c r="F22" s="4">
        <v>1560</v>
      </c>
      <c r="G22" s="4">
        <f t="shared" si="19"/>
        <v>83740.800000000003</v>
      </c>
      <c r="H22" s="21" t="s">
        <v>133</v>
      </c>
      <c r="I22" s="15">
        <v>16</v>
      </c>
      <c r="J22" s="17">
        <v>2000</v>
      </c>
      <c r="K22" s="16">
        <f t="shared" si="1"/>
        <v>125</v>
      </c>
      <c r="L22" s="15">
        <v>16</v>
      </c>
      <c r="M22" s="17">
        <f t="shared" si="20"/>
        <v>1910.2040816326535</v>
      </c>
      <c r="N22" s="16">
        <f t="shared" si="3"/>
        <v>119.38775510204084</v>
      </c>
      <c r="O22" s="18">
        <f t="shared" si="4"/>
        <v>0</v>
      </c>
      <c r="P22" s="19">
        <f t="shared" si="5"/>
        <v>-5.6122448979591582</v>
      </c>
      <c r="Q22" s="20">
        <f t="shared" si="6"/>
        <v>0.95510204081632677</v>
      </c>
      <c r="R22" s="170"/>
      <c r="S22" s="27">
        <v>0.27083333333333331</v>
      </c>
      <c r="T22" s="27">
        <v>0.30486111111111108</v>
      </c>
      <c r="U22" s="4">
        <f t="shared" ref="U22:U26" si="22">IF(S22=TIME(17,0,0),"",(S22-T21)*24*60)</f>
        <v>6.9999999999999751</v>
      </c>
      <c r="V22" s="21">
        <f t="shared" si="21"/>
        <v>48.999999999999986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-89.79591836734653</v>
      </c>
      <c r="AF22" s="20">
        <f t="shared" si="9"/>
        <v>0.95510204081632677</v>
      </c>
      <c r="AG22" s="170"/>
    </row>
    <row r="23" spans="1:33" ht="15.75" customHeight="1">
      <c r="A23" s="193" t="s">
        <v>393</v>
      </c>
      <c r="B23" s="35" t="s">
        <v>78</v>
      </c>
      <c r="C23" s="190" t="s">
        <v>94</v>
      </c>
      <c r="D23" s="190"/>
      <c r="E23" s="35">
        <v>50.49</v>
      </c>
      <c r="F23" s="4">
        <v>2248</v>
      </c>
      <c r="G23" s="4">
        <f t="shared" si="19"/>
        <v>113501.52</v>
      </c>
      <c r="H23" s="21" t="s">
        <v>133</v>
      </c>
      <c r="I23" s="15">
        <v>15</v>
      </c>
      <c r="J23" s="17">
        <v>2000</v>
      </c>
      <c r="K23" s="16">
        <f t="shared" si="1"/>
        <v>133.33333333333334</v>
      </c>
      <c r="L23" s="15">
        <v>15</v>
      </c>
      <c r="M23" s="17">
        <f t="shared" si="20"/>
        <v>1926.8571428571406</v>
      </c>
      <c r="N23" s="16">
        <f t="shared" si="3"/>
        <v>128.45714285714271</v>
      </c>
      <c r="O23" s="18">
        <f t="shared" si="4"/>
        <v>0</v>
      </c>
      <c r="P23" s="19">
        <f t="shared" si="5"/>
        <v>-4.8761904761906294</v>
      </c>
      <c r="Q23" s="20">
        <f t="shared" si="6"/>
        <v>0.9634285714285703</v>
      </c>
      <c r="R23" s="170"/>
      <c r="S23" s="27">
        <v>0.70833333333333337</v>
      </c>
      <c r="T23" s="27">
        <v>0.75694444444444453</v>
      </c>
      <c r="U23" s="4" t="str">
        <f t="shared" si="22"/>
        <v/>
      </c>
      <c r="V23" s="21">
        <f t="shared" si="21"/>
        <v>70.000000000000071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-73.142857142859384</v>
      </c>
      <c r="AF23" s="20">
        <f t="shared" si="9"/>
        <v>0.9634285714285703</v>
      </c>
      <c r="AG23" s="170"/>
    </row>
    <row r="24" spans="1:33" ht="15.75" customHeight="1">
      <c r="A24" s="193" t="s">
        <v>980</v>
      </c>
      <c r="B24" s="35" t="s">
        <v>78</v>
      </c>
      <c r="C24" s="190" t="s">
        <v>95</v>
      </c>
      <c r="D24" s="190"/>
      <c r="E24" s="35">
        <v>53.68</v>
      </c>
      <c r="F24" s="4">
        <v>1000</v>
      </c>
      <c r="G24" s="4">
        <f t="shared" si="19"/>
        <v>53680</v>
      </c>
      <c r="H24" s="21">
        <v>2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1463.4146341463411</v>
      </c>
      <c r="N24" s="16">
        <f t="shared" si="3"/>
        <v>91.463414634146318</v>
      </c>
      <c r="O24" s="18">
        <f t="shared" si="4"/>
        <v>0</v>
      </c>
      <c r="P24" s="19">
        <f t="shared" si="5"/>
        <v>-2.2865853658536821</v>
      </c>
      <c r="Q24" s="20">
        <f t="shared" si="6"/>
        <v>0.97560975609756073</v>
      </c>
      <c r="R24" s="170"/>
      <c r="S24" s="27">
        <v>0.76111111111111118</v>
      </c>
      <c r="T24" s="27">
        <v>0.78958333333333341</v>
      </c>
      <c r="U24" s="4">
        <f t="shared" si="22"/>
        <v>5.9999999999999787</v>
      </c>
      <c r="V24" s="21">
        <f t="shared" si="21"/>
        <v>41.000000000000014</v>
      </c>
      <c r="W24" s="22"/>
      <c r="X24" s="4"/>
      <c r="Y24" s="4"/>
      <c r="Z24" s="4"/>
      <c r="AA24" s="162"/>
      <c r="AB24" s="162"/>
      <c r="AC24" s="24"/>
      <c r="AD24" s="24"/>
      <c r="AE24" s="18">
        <f t="shared" si="8"/>
        <v>-36.585365853658914</v>
      </c>
      <c r="AF24" s="20">
        <f t="shared" si="9"/>
        <v>0.97560975609756073</v>
      </c>
      <c r="AG24" s="170"/>
    </row>
    <row r="25" spans="1:33" ht="15.75" customHeight="1">
      <c r="A25" s="193" t="s">
        <v>980</v>
      </c>
      <c r="B25" s="35" t="s">
        <v>78</v>
      </c>
      <c r="C25" s="190" t="s">
        <v>96</v>
      </c>
      <c r="D25" s="190"/>
      <c r="E25" s="35">
        <v>57.3</v>
      </c>
      <c r="F25" s="4">
        <v>2000</v>
      </c>
      <c r="G25" s="4">
        <f t="shared" si="19"/>
        <v>114600</v>
      </c>
      <c r="H25" s="21" t="s">
        <v>133</v>
      </c>
      <c r="I25" s="15">
        <v>13</v>
      </c>
      <c r="J25" s="17">
        <v>2000</v>
      </c>
      <c r="K25" s="16">
        <f t="shared" si="1"/>
        <v>153.84615384615384</v>
      </c>
      <c r="L25" s="15">
        <v>13</v>
      </c>
      <c r="M25" s="17">
        <f t="shared" si="20"/>
        <v>1904.7619047619066</v>
      </c>
      <c r="N25" s="16">
        <f t="shared" si="3"/>
        <v>146.52014652014665</v>
      </c>
      <c r="O25" s="18">
        <f t="shared" si="4"/>
        <v>0</v>
      </c>
      <c r="P25" s="19">
        <f t="shared" si="5"/>
        <v>-7.3260073260071863</v>
      </c>
      <c r="Q25" s="20">
        <f t="shared" si="6"/>
        <v>0.95238095238095333</v>
      </c>
      <c r="R25" s="170"/>
      <c r="S25" s="27">
        <v>0.79375000000000007</v>
      </c>
      <c r="T25" s="27">
        <v>0.83750000000000002</v>
      </c>
      <c r="U25" s="4">
        <f t="shared" si="22"/>
        <v>5.9999999999999787</v>
      </c>
      <c r="V25" s="21">
        <f t="shared" si="21"/>
        <v>62.999999999999936</v>
      </c>
      <c r="W25" s="22">
        <f>T25</f>
        <v>0.83750000000000002</v>
      </c>
      <c r="X25" s="22">
        <f>S26</f>
        <v>0.87569444444444444</v>
      </c>
      <c r="Y25" s="4"/>
      <c r="Z25" s="4"/>
      <c r="AA25" s="162"/>
      <c r="AB25" s="162"/>
      <c r="AC25" s="24"/>
      <c r="AD25" s="24"/>
      <c r="AE25" s="18">
        <f t="shared" si="8"/>
        <v>-95.238095238093365</v>
      </c>
      <c r="AF25" s="20">
        <f t="shared" si="9"/>
        <v>0.95238095238095333</v>
      </c>
      <c r="AG25" s="170"/>
    </row>
    <row r="26" spans="1:33" ht="15.75" customHeight="1">
      <c r="A26" s="193" t="s">
        <v>393</v>
      </c>
      <c r="B26" s="35" t="s">
        <v>78</v>
      </c>
      <c r="C26" s="190" t="s">
        <v>95</v>
      </c>
      <c r="D26" s="190"/>
      <c r="E26" s="35">
        <v>53.68</v>
      </c>
      <c r="F26" s="4">
        <v>768</v>
      </c>
      <c r="G26" s="4">
        <f t="shared" si="19"/>
        <v>41226.239999999998</v>
      </c>
      <c r="H26" s="21" t="s">
        <v>133</v>
      </c>
      <c r="I26" s="15">
        <v>16</v>
      </c>
      <c r="J26" s="17">
        <v>1500</v>
      </c>
      <c r="K26" s="16">
        <f t="shared" si="1"/>
        <v>93.75</v>
      </c>
      <c r="L26" s="15">
        <v>16</v>
      </c>
      <c r="M26" s="17">
        <f t="shared" si="20"/>
        <v>1439.9999999999982</v>
      </c>
      <c r="N26" s="16">
        <f t="shared" si="3"/>
        <v>89.999999999999886</v>
      </c>
      <c r="O26" s="18">
        <f t="shared" si="4"/>
        <v>0</v>
      </c>
      <c r="P26" s="19">
        <f t="shared" si="5"/>
        <v>-3.7500000000001137</v>
      </c>
      <c r="Q26" s="20">
        <f t="shared" si="6"/>
        <v>0.95999999999999874</v>
      </c>
      <c r="R26" s="170"/>
      <c r="S26" s="27">
        <v>0.87569444444444444</v>
      </c>
      <c r="T26" s="27">
        <v>0.8979166666666667</v>
      </c>
      <c r="U26" s="4">
        <f t="shared" si="22"/>
        <v>54.999999999999964</v>
      </c>
      <c r="V26" s="21">
        <f t="shared" si="21"/>
        <v>32.000000000000043</v>
      </c>
      <c r="W26" s="22"/>
      <c r="X26" s="27"/>
      <c r="Y26" s="27"/>
      <c r="Z26" s="27"/>
      <c r="AA26" s="162"/>
      <c r="AB26" s="162"/>
      <c r="AC26" s="24"/>
      <c r="AD26" s="24"/>
      <c r="AE26" s="18">
        <f t="shared" si="8"/>
        <v>-60.000000000001819</v>
      </c>
      <c r="AF26" s="20">
        <f t="shared" si="9"/>
        <v>0.95999999999999874</v>
      </c>
      <c r="AG26" s="170"/>
    </row>
    <row r="27" spans="1:33" ht="15.75" customHeight="1">
      <c r="A27" s="193" t="s">
        <v>393</v>
      </c>
      <c r="B27" s="35" t="s">
        <v>48</v>
      </c>
      <c r="C27" s="171"/>
      <c r="D27" s="171"/>
      <c r="E27" s="36"/>
      <c r="F27" s="4"/>
      <c r="G27" s="4"/>
      <c r="H27" s="4"/>
      <c r="I27" s="29">
        <v>15</v>
      </c>
      <c r="J27" s="17">
        <v>1833.3333333333333</v>
      </c>
      <c r="K27" s="16">
        <f t="shared" si="1"/>
        <v>122.22222222222221</v>
      </c>
      <c r="L27" s="29">
        <v>15</v>
      </c>
      <c r="M27" s="17">
        <f>AVERAGE(M21:M26)</f>
        <v>1761.7163340603158</v>
      </c>
      <c r="N27" s="16">
        <f t="shared" si="3"/>
        <v>117.44775560402105</v>
      </c>
      <c r="O27" s="18">
        <f t="shared" si="4"/>
        <v>0</v>
      </c>
      <c r="P27" s="19">
        <f t="shared" si="5"/>
        <v>-4.7744666182011599</v>
      </c>
      <c r="Q27" s="20">
        <f t="shared" si="6"/>
        <v>0.96093618221471777</v>
      </c>
      <c r="R27" s="170"/>
      <c r="S27" s="27"/>
      <c r="T27" s="27"/>
      <c r="U27" s="16"/>
      <c r="V27" s="21"/>
      <c r="W27" s="16"/>
      <c r="X27" s="16"/>
      <c r="Y27" s="30">
        <f>SUM(Y21:Y26)</f>
        <v>0</v>
      </c>
      <c r="Z27" s="30">
        <f>SUM(Z21:Z26)</f>
        <v>0</v>
      </c>
      <c r="AA27" s="166"/>
      <c r="AB27" s="166"/>
      <c r="AC27" s="30">
        <v>6</v>
      </c>
      <c r="AD27" s="30">
        <f>SUM(AD21:AD26)</f>
        <v>0</v>
      </c>
      <c r="AE27" s="18">
        <f t="shared" si="8"/>
        <v>-71.616999273017427</v>
      </c>
      <c r="AF27" s="20">
        <f t="shared" si="9"/>
        <v>0.96093618221471777</v>
      </c>
      <c r="AG27" s="170"/>
    </row>
    <row r="28" spans="1:33" ht="15.75" customHeight="1">
      <c r="A28" s="191" t="s">
        <v>55</v>
      </c>
      <c r="B28" s="35" t="s">
        <v>97</v>
      </c>
      <c r="C28" s="190" t="s">
        <v>98</v>
      </c>
      <c r="D28" s="190"/>
      <c r="E28" s="35">
        <v>31.29</v>
      </c>
      <c r="F28" s="4">
        <v>5700</v>
      </c>
      <c r="G28" s="4">
        <f t="shared" ref="G28:G36" si="23">E28*F28</f>
        <v>178353</v>
      </c>
      <c r="H28" s="21">
        <v>2</v>
      </c>
      <c r="I28" s="15">
        <v>18</v>
      </c>
      <c r="J28" s="17">
        <v>2400</v>
      </c>
      <c r="K28" s="16">
        <f t="shared" si="1"/>
        <v>133.33333333333334</v>
      </c>
      <c r="L28" s="15">
        <v>18</v>
      </c>
      <c r="M28" s="17">
        <f t="shared" ref="M28:M36" si="24">F28/V28*60</f>
        <v>2295.3020134228182</v>
      </c>
      <c r="N28" s="16">
        <f t="shared" si="3"/>
        <v>127.5167785234899</v>
      </c>
      <c r="O28" s="18">
        <f t="shared" si="4"/>
        <v>0</v>
      </c>
      <c r="P28" s="19">
        <f t="shared" si="5"/>
        <v>-5.8165548098434385</v>
      </c>
      <c r="Q28" s="20">
        <f t="shared" si="6"/>
        <v>0.95637583892617417</v>
      </c>
      <c r="R28" s="170">
        <f>Q37</f>
        <v>0.95600492417028593</v>
      </c>
      <c r="S28" s="27">
        <v>0.125</v>
      </c>
      <c r="T28" s="27">
        <v>0.22847222222222224</v>
      </c>
      <c r="U28" s="4"/>
      <c r="V28" s="21">
        <f t="shared" ref="V28:V36" si="25">(T28-S28)*24*60</f>
        <v>149.00000000000003</v>
      </c>
      <c r="W28" s="22">
        <f>T28</f>
        <v>0.22847222222222224</v>
      </c>
      <c r="X28" s="22">
        <f>S29</f>
        <v>0.24861111111111114</v>
      </c>
      <c r="Y28" s="22"/>
      <c r="Z28" s="22"/>
      <c r="AA28" s="162"/>
      <c r="AB28" s="162"/>
      <c r="AC28" s="24">
        <v>9</v>
      </c>
      <c r="AD28" s="24"/>
      <c r="AE28" s="18">
        <f t="shared" si="8"/>
        <v>-104.69798657718184</v>
      </c>
      <c r="AF28" s="20">
        <f t="shared" si="9"/>
        <v>0.95637583892617428</v>
      </c>
      <c r="AG28" s="170">
        <f>AF37</f>
        <v>0.95600492417028593</v>
      </c>
    </row>
    <row r="29" spans="1:33" ht="15.75" customHeight="1">
      <c r="A29" s="191" t="s">
        <v>55</v>
      </c>
      <c r="B29" s="35" t="s">
        <v>97</v>
      </c>
      <c r="C29" s="190" t="s">
        <v>99</v>
      </c>
      <c r="D29" s="190"/>
      <c r="E29" s="35">
        <v>25.98</v>
      </c>
      <c r="F29" s="4">
        <v>3199</v>
      </c>
      <c r="G29" s="4">
        <f t="shared" si="23"/>
        <v>83110.02</v>
      </c>
      <c r="H29" s="21" t="s">
        <v>133</v>
      </c>
      <c r="I29" s="15">
        <v>21</v>
      </c>
      <c r="J29" s="17">
        <v>2400</v>
      </c>
      <c r="K29" s="16">
        <f t="shared" si="1"/>
        <v>114.28571428571429</v>
      </c>
      <c r="L29" s="15">
        <v>21</v>
      </c>
      <c r="M29" s="17">
        <f t="shared" si="24"/>
        <v>2285.0000000000005</v>
      </c>
      <c r="N29" s="16">
        <f t="shared" si="3"/>
        <v>108.80952380952382</v>
      </c>
      <c r="O29" s="18">
        <f t="shared" si="4"/>
        <v>0</v>
      </c>
      <c r="P29" s="19">
        <f t="shared" si="5"/>
        <v>-5.4761904761904674</v>
      </c>
      <c r="Q29" s="20">
        <f t="shared" si="6"/>
        <v>0.95208333333333339</v>
      </c>
      <c r="R29" s="170"/>
      <c r="S29" s="27">
        <v>0.24861111111111114</v>
      </c>
      <c r="T29" s="27">
        <v>0.30694444444444446</v>
      </c>
      <c r="U29" s="4">
        <f t="shared" ref="U29:U36" si="26">(S29-T28)*24*60</f>
        <v>29.000000000000018</v>
      </c>
      <c r="V29" s="21">
        <f t="shared" si="25"/>
        <v>83.999999999999986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-114.99999999999955</v>
      </c>
      <c r="AF29" s="20">
        <f t="shared" si="9"/>
        <v>0.9520833333333335</v>
      </c>
      <c r="AG29" s="170"/>
    </row>
    <row r="30" spans="1:33" ht="15.75" customHeight="1">
      <c r="A30" s="191" t="s">
        <v>981</v>
      </c>
      <c r="B30" s="35" t="s">
        <v>97</v>
      </c>
      <c r="C30" s="190" t="s">
        <v>100</v>
      </c>
      <c r="D30" s="190"/>
      <c r="E30" s="35">
        <v>26.2</v>
      </c>
      <c r="F30" s="4">
        <v>3100</v>
      </c>
      <c r="G30" s="4">
        <f t="shared" si="23"/>
        <v>81220</v>
      </c>
      <c r="H30" s="21">
        <v>2</v>
      </c>
      <c r="I30" s="15">
        <v>20</v>
      </c>
      <c r="J30" s="17">
        <v>2400</v>
      </c>
      <c r="K30" s="16">
        <f t="shared" si="1"/>
        <v>120</v>
      </c>
      <c r="L30" s="15">
        <v>20</v>
      </c>
      <c r="M30" s="17">
        <f t="shared" si="24"/>
        <v>2296.2962962962956</v>
      </c>
      <c r="N30" s="16">
        <f t="shared" si="3"/>
        <v>114.81481481481478</v>
      </c>
      <c r="O30" s="18">
        <f t="shared" si="4"/>
        <v>0</v>
      </c>
      <c r="P30" s="19">
        <f t="shared" si="5"/>
        <v>-5.1851851851852189</v>
      </c>
      <c r="Q30" s="20">
        <f t="shared" si="6"/>
        <v>0.95679012345678982</v>
      </c>
      <c r="R30" s="170"/>
      <c r="S30" s="27">
        <v>0.31180555555555556</v>
      </c>
      <c r="T30" s="27">
        <v>0.36805555555555558</v>
      </c>
      <c r="U30" s="4">
        <f t="shared" si="26"/>
        <v>6.9999999999999751</v>
      </c>
      <c r="V30" s="21">
        <f t="shared" si="25"/>
        <v>81.000000000000028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-103.70370370370438</v>
      </c>
      <c r="AF30" s="20">
        <f t="shared" si="9"/>
        <v>0.95679012345678982</v>
      </c>
      <c r="AG30" s="170"/>
    </row>
    <row r="31" spans="1:33" ht="15.75" customHeight="1">
      <c r="A31" s="191" t="s">
        <v>981</v>
      </c>
      <c r="B31" s="35" t="s">
        <v>97</v>
      </c>
      <c r="C31" s="190" t="s">
        <v>101</v>
      </c>
      <c r="D31" s="190"/>
      <c r="E31" s="35">
        <v>25.99</v>
      </c>
      <c r="F31" s="4">
        <v>2400</v>
      </c>
      <c r="G31" s="4">
        <f t="shared" si="23"/>
        <v>62375.999999999993</v>
      </c>
      <c r="H31" s="21">
        <v>2</v>
      </c>
      <c r="I31" s="15">
        <v>14</v>
      </c>
      <c r="J31" s="17">
        <v>2400</v>
      </c>
      <c r="K31" s="16">
        <f t="shared" si="1"/>
        <v>171.42857142857142</v>
      </c>
      <c r="L31" s="15">
        <v>14</v>
      </c>
      <c r="M31" s="17">
        <f t="shared" si="24"/>
        <v>2285.7142857142853</v>
      </c>
      <c r="N31" s="16">
        <f t="shared" si="3"/>
        <v>163.26530612244895</v>
      </c>
      <c r="O31" s="18">
        <f t="shared" si="4"/>
        <v>0</v>
      </c>
      <c r="P31" s="19">
        <f t="shared" si="5"/>
        <v>-8.1632653061224687</v>
      </c>
      <c r="Q31" s="20">
        <f t="shared" si="6"/>
        <v>0.95238095238095222</v>
      </c>
      <c r="R31" s="170"/>
      <c r="S31" s="27">
        <v>0.37222222222222223</v>
      </c>
      <c r="T31" s="27">
        <v>0.41597222222222224</v>
      </c>
      <c r="U31" s="4">
        <f t="shared" si="26"/>
        <v>5.9999999999999787</v>
      </c>
      <c r="V31" s="21">
        <f t="shared" si="25"/>
        <v>63.000000000000014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-114.28571428571468</v>
      </c>
      <c r="AF31" s="20">
        <f t="shared" si="9"/>
        <v>0.95238095238095222</v>
      </c>
      <c r="AG31" s="170"/>
    </row>
    <row r="32" spans="1:33" ht="15.75" customHeight="1">
      <c r="A32" s="191" t="s">
        <v>981</v>
      </c>
      <c r="B32" s="35" t="s">
        <v>97</v>
      </c>
      <c r="C32" s="190" t="s">
        <v>102</v>
      </c>
      <c r="D32" s="190"/>
      <c r="E32" s="35">
        <v>26.18</v>
      </c>
      <c r="F32" s="4">
        <v>1878</v>
      </c>
      <c r="G32" s="4">
        <f t="shared" si="23"/>
        <v>49166.04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4"/>
        <v>2299.5918367346944</v>
      </c>
      <c r="N32" s="16">
        <f t="shared" si="3"/>
        <v>121.03114930182602</v>
      </c>
      <c r="O32" s="18">
        <f t="shared" si="4"/>
        <v>0</v>
      </c>
      <c r="P32" s="19">
        <f t="shared" si="5"/>
        <v>-5.2846401718581859</v>
      </c>
      <c r="Q32" s="20">
        <f t="shared" si="6"/>
        <v>0.95816326530612272</v>
      </c>
      <c r="R32" s="170"/>
      <c r="S32" s="27">
        <v>0.42152777777777778</v>
      </c>
      <c r="T32" s="27">
        <v>0.45555555555555555</v>
      </c>
      <c r="U32" s="4">
        <f t="shared" si="26"/>
        <v>7.9999999999999716</v>
      </c>
      <c r="V32" s="21">
        <f t="shared" si="25"/>
        <v>48.999999999999986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-100.40816326530557</v>
      </c>
      <c r="AF32" s="20">
        <f t="shared" si="9"/>
        <v>0.95816326530612272</v>
      </c>
      <c r="AG32" s="170"/>
    </row>
    <row r="33" spans="1:33" ht="15.75" customHeight="1">
      <c r="A33" s="191" t="s">
        <v>981</v>
      </c>
      <c r="B33" s="35" t="s">
        <v>97</v>
      </c>
      <c r="C33" s="190" t="s">
        <v>106</v>
      </c>
      <c r="D33" s="190"/>
      <c r="E33" s="35">
        <v>20.21</v>
      </c>
      <c r="F33" s="4">
        <v>3110</v>
      </c>
      <c r="G33" s="4">
        <f t="shared" si="23"/>
        <v>62853.100000000006</v>
      </c>
      <c r="H33" s="21" t="s">
        <v>133</v>
      </c>
      <c r="I33" s="15">
        <v>15</v>
      </c>
      <c r="J33" s="17">
        <v>2400</v>
      </c>
      <c r="K33" s="16">
        <f t="shared" si="1"/>
        <v>160</v>
      </c>
      <c r="L33" s="15">
        <v>15</v>
      </c>
      <c r="M33" s="17">
        <f t="shared" si="24"/>
        <v>2303.7037037037053</v>
      </c>
      <c r="N33" s="16">
        <f t="shared" si="3"/>
        <v>153.58024691358034</v>
      </c>
      <c r="O33" s="18">
        <f t="shared" si="4"/>
        <v>0</v>
      </c>
      <c r="P33" s="19">
        <f t="shared" si="5"/>
        <v>-6.4197530864196608</v>
      </c>
      <c r="Q33" s="20">
        <f t="shared" si="6"/>
        <v>0.95987654320987714</v>
      </c>
      <c r="R33" s="170"/>
      <c r="S33" s="27">
        <v>0.45902777777777776</v>
      </c>
      <c r="T33" s="27">
        <v>0.51527777777777772</v>
      </c>
      <c r="U33" s="4">
        <f t="shared" si="26"/>
        <v>4.9999999999999822</v>
      </c>
      <c r="V33" s="21">
        <f t="shared" si="25"/>
        <v>80.999999999999957</v>
      </c>
      <c r="W33" s="22">
        <f>T33</f>
        <v>0.51527777777777772</v>
      </c>
      <c r="X33" s="22">
        <f>S34</f>
        <v>0.55624999999999991</v>
      </c>
      <c r="Y33" s="22"/>
      <c r="Z33" s="22"/>
      <c r="AA33" s="162"/>
      <c r="AB33" s="162"/>
      <c r="AC33" s="24"/>
      <c r="AD33" s="24"/>
      <c r="AE33" s="18">
        <f t="shared" si="8"/>
        <v>-96.296296296294713</v>
      </c>
      <c r="AF33" s="20">
        <f t="shared" si="9"/>
        <v>0.95987654320987725</v>
      </c>
      <c r="AG33" s="170"/>
    </row>
    <row r="34" spans="1:33" ht="15.75" customHeight="1">
      <c r="A34" s="191" t="s">
        <v>981</v>
      </c>
      <c r="B34" s="35" t="s">
        <v>97</v>
      </c>
      <c r="C34" s="190" t="s">
        <v>100</v>
      </c>
      <c r="D34" s="190"/>
      <c r="E34" s="35">
        <v>26.2</v>
      </c>
      <c r="F34" s="4">
        <v>2289</v>
      </c>
      <c r="G34" s="4">
        <f t="shared" si="23"/>
        <v>59971.799999999996</v>
      </c>
      <c r="H34" s="21" t="s">
        <v>133</v>
      </c>
      <c r="I34" s="15">
        <v>20</v>
      </c>
      <c r="J34" s="17">
        <v>2400</v>
      </c>
      <c r="K34" s="16">
        <f t="shared" si="1"/>
        <v>120</v>
      </c>
      <c r="L34" s="15">
        <v>20</v>
      </c>
      <c r="M34" s="17">
        <f t="shared" si="24"/>
        <v>2289.0000000000018</v>
      </c>
      <c r="N34" s="16">
        <f t="shared" si="3"/>
        <v>114.45000000000009</v>
      </c>
      <c r="O34" s="18">
        <f t="shared" si="4"/>
        <v>0</v>
      </c>
      <c r="P34" s="19">
        <f t="shared" si="5"/>
        <v>-5.5499999999999119</v>
      </c>
      <c r="Q34" s="20">
        <f t="shared" si="6"/>
        <v>0.95375000000000076</v>
      </c>
      <c r="R34" s="170"/>
      <c r="S34" s="27">
        <v>0.55624999999999991</v>
      </c>
      <c r="T34" s="27">
        <v>0.59791666666666654</v>
      </c>
      <c r="U34" s="4">
        <f t="shared" si="26"/>
        <v>58.99999999999995</v>
      </c>
      <c r="V34" s="21">
        <f t="shared" si="25"/>
        <v>59.999999999999943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-110.99999999999818</v>
      </c>
      <c r="AF34" s="20">
        <f t="shared" si="9"/>
        <v>0.95375000000000076</v>
      </c>
      <c r="AG34" s="170"/>
    </row>
    <row r="35" spans="1:33" ht="15.75" customHeight="1">
      <c r="A35" s="191" t="s">
        <v>981</v>
      </c>
      <c r="B35" s="35" t="s">
        <v>97</v>
      </c>
      <c r="C35" s="190" t="s">
        <v>98</v>
      </c>
      <c r="D35" s="190"/>
      <c r="E35" s="35">
        <v>31.29</v>
      </c>
      <c r="F35" s="4">
        <v>4074</v>
      </c>
      <c r="G35" s="4">
        <f t="shared" si="23"/>
        <v>127475.45999999999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4"/>
        <v>2284.4859813084122</v>
      </c>
      <c r="N35" s="16">
        <f t="shared" si="3"/>
        <v>126.91588785046734</v>
      </c>
      <c r="O35" s="18">
        <f t="shared" si="4"/>
        <v>0</v>
      </c>
      <c r="P35" s="19">
        <f t="shared" si="5"/>
        <v>-6.4174454828660004</v>
      </c>
      <c r="Q35" s="20">
        <f t="shared" si="6"/>
        <v>0.95186915887850498</v>
      </c>
      <c r="R35" s="170"/>
      <c r="S35" s="27">
        <v>0.60208333333333319</v>
      </c>
      <c r="T35" s="27">
        <v>0.67638888888888871</v>
      </c>
      <c r="U35" s="4">
        <f t="shared" si="26"/>
        <v>5.9999999999999787</v>
      </c>
      <c r="V35" s="21">
        <f t="shared" si="25"/>
        <v>106.99999999999994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-115.51401869158781</v>
      </c>
      <c r="AF35" s="20">
        <f t="shared" si="9"/>
        <v>0.95186915887850509</v>
      </c>
      <c r="AG35" s="170"/>
    </row>
    <row r="36" spans="1:33" ht="15.75" customHeight="1">
      <c r="A36" s="191" t="s">
        <v>981</v>
      </c>
      <c r="B36" s="35" t="s">
        <v>97</v>
      </c>
      <c r="C36" s="215" t="s">
        <v>101</v>
      </c>
      <c r="D36" s="216"/>
      <c r="E36" s="35">
        <v>25.99</v>
      </c>
      <c r="F36" s="4">
        <v>1887</v>
      </c>
      <c r="G36" s="4">
        <f t="shared" si="23"/>
        <v>49043.13</v>
      </c>
      <c r="H36" s="21" t="s">
        <v>133</v>
      </c>
      <c r="I36" s="15">
        <v>14</v>
      </c>
      <c r="J36" s="17">
        <v>2400</v>
      </c>
      <c r="K36" s="16">
        <f t="shared" si="1"/>
        <v>171.42857142857142</v>
      </c>
      <c r="L36" s="15">
        <v>14</v>
      </c>
      <c r="M36" s="17">
        <f t="shared" si="24"/>
        <v>2310.61224489796</v>
      </c>
      <c r="N36" s="16">
        <f t="shared" si="3"/>
        <v>165.04373177842572</v>
      </c>
      <c r="O36" s="18">
        <f t="shared" si="4"/>
        <v>0</v>
      </c>
      <c r="P36" s="19">
        <f t="shared" si="5"/>
        <v>-6.3848396501456932</v>
      </c>
      <c r="Q36" s="20">
        <f t="shared" si="6"/>
        <v>0.96275510204081682</v>
      </c>
      <c r="R36" s="170"/>
      <c r="S36" s="27">
        <v>0.67986111111111092</v>
      </c>
      <c r="T36" s="27">
        <v>0.71388888888888868</v>
      </c>
      <c r="U36" s="4">
        <f t="shared" si="26"/>
        <v>4.9999999999999822</v>
      </c>
      <c r="V36" s="21">
        <f t="shared" si="25"/>
        <v>48.999999999999986</v>
      </c>
      <c r="W36" s="22"/>
      <c r="X36" s="22"/>
      <c r="Y36" s="25"/>
      <c r="Z36" s="25"/>
      <c r="AA36" s="176"/>
      <c r="AB36" s="177"/>
      <c r="AC36" s="24"/>
      <c r="AD36" s="24"/>
      <c r="AE36" s="18">
        <f t="shared" si="8"/>
        <v>-89.387755102040046</v>
      </c>
      <c r="AF36" s="20">
        <f t="shared" si="9"/>
        <v>0.9627551020408166</v>
      </c>
      <c r="AG36" s="170"/>
    </row>
    <row r="37" spans="1:33" ht="15.75" customHeight="1">
      <c r="A37" s="191" t="s">
        <v>55</v>
      </c>
      <c r="B37" s="35" t="s">
        <v>48</v>
      </c>
      <c r="C37" s="171"/>
      <c r="D37" s="171"/>
      <c r="E37" s="36"/>
      <c r="F37" s="4"/>
      <c r="G37" s="4"/>
      <c r="H37" s="4"/>
      <c r="I37" s="29">
        <v>17.666666666666668</v>
      </c>
      <c r="J37" s="17">
        <v>2400</v>
      </c>
      <c r="K37" s="16">
        <f t="shared" si="1"/>
        <v>135.84905660377356</v>
      </c>
      <c r="L37" s="29">
        <v>17.666666666666668</v>
      </c>
      <c r="M37" s="17">
        <f>AVERAGE(M28:M36)</f>
        <v>2294.4118180086862</v>
      </c>
      <c r="N37" s="16">
        <f t="shared" si="3"/>
        <v>129.87236705709543</v>
      </c>
      <c r="O37" s="18">
        <f t="shared" si="4"/>
        <v>0</v>
      </c>
      <c r="P37" s="19">
        <f t="shared" si="5"/>
        <v>-5.9766895466781307</v>
      </c>
      <c r="Q37" s="20">
        <f t="shared" si="6"/>
        <v>0.95600492417028593</v>
      </c>
      <c r="R37" s="170"/>
      <c r="S37" s="27"/>
      <c r="T37" s="27"/>
      <c r="U37" s="4"/>
      <c r="V37" s="21"/>
      <c r="W37" s="4"/>
      <c r="X37" s="4"/>
      <c r="Y37" s="30">
        <f>SUM(Y28:Y36)</f>
        <v>0</v>
      </c>
      <c r="Z37" s="30">
        <f>SUM(Z28:Z36)</f>
        <v>0</v>
      </c>
      <c r="AA37" s="166"/>
      <c r="AB37" s="166"/>
      <c r="AC37" s="30">
        <v>9</v>
      </c>
      <c r="AD37" s="30">
        <f>SUM(AD28:AD36)</f>
        <v>0</v>
      </c>
      <c r="AE37" s="18">
        <f t="shared" si="8"/>
        <v>-105.58818199131383</v>
      </c>
      <c r="AF37" s="20">
        <f t="shared" si="9"/>
        <v>0.95600492417028593</v>
      </c>
      <c r="AG37" s="170"/>
    </row>
    <row r="38" spans="1:33" ht="15.75" customHeight="1">
      <c r="A38" s="188" t="s">
        <v>982</v>
      </c>
      <c r="B38" s="35" t="s">
        <v>97</v>
      </c>
      <c r="C38" s="163" t="s">
        <v>103</v>
      </c>
      <c r="D38" s="163"/>
      <c r="E38" s="35">
        <v>26.2</v>
      </c>
      <c r="F38" s="4">
        <v>4100</v>
      </c>
      <c r="G38" s="4">
        <f t="shared" ref="G38:G45" si="27">E38*F38</f>
        <v>107420</v>
      </c>
      <c r="H38" s="21">
        <v>2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ref="M38:M45" si="28">F38/V38*60</f>
        <v>2299.0654205607475</v>
      </c>
      <c r="N38" s="16">
        <f t="shared" si="3"/>
        <v>127.72585669781931</v>
      </c>
      <c r="O38" s="18">
        <f t="shared" si="4"/>
        <v>0</v>
      </c>
      <c r="P38" s="19">
        <f t="shared" si="5"/>
        <v>-5.6074766355140326</v>
      </c>
      <c r="Q38" s="20">
        <f t="shared" si="6"/>
        <v>0.9579439252336448</v>
      </c>
      <c r="R38" s="170">
        <f>Q46</f>
        <v>0.95488909409487766</v>
      </c>
      <c r="S38" s="27">
        <v>0.125</v>
      </c>
      <c r="T38" s="27">
        <v>0.19930555555555557</v>
      </c>
      <c r="U38" s="4"/>
      <c r="V38" s="21">
        <f t="shared" ref="V38:V45" si="29">(T38-S38)*24*60</f>
        <v>107.00000000000001</v>
      </c>
      <c r="W38" s="27">
        <f>T38</f>
        <v>0.19930555555555557</v>
      </c>
      <c r="X38" s="27">
        <f>S39</f>
        <v>0.21875000000000003</v>
      </c>
      <c r="Y38" s="27"/>
      <c r="Z38" s="27"/>
      <c r="AA38" s="162"/>
      <c r="AB38" s="162"/>
      <c r="AC38" s="24">
        <v>8</v>
      </c>
      <c r="AD38" s="24"/>
      <c r="AE38" s="18">
        <f t="shared" si="8"/>
        <v>-100.9345794392525</v>
      </c>
      <c r="AF38" s="20">
        <f t="shared" si="9"/>
        <v>0.9579439252336448</v>
      </c>
      <c r="AG38" s="170">
        <f>AF46</f>
        <v>0.95488909409487766</v>
      </c>
    </row>
    <row r="39" spans="1:33" ht="15.75" customHeight="1">
      <c r="A39" s="188" t="s">
        <v>62</v>
      </c>
      <c r="B39" s="35" t="s">
        <v>97</v>
      </c>
      <c r="C39" s="163" t="s">
        <v>104</v>
      </c>
      <c r="D39" s="163"/>
      <c r="E39" s="35">
        <v>20.52</v>
      </c>
      <c r="F39" s="4">
        <v>4275</v>
      </c>
      <c r="G39" s="4">
        <f t="shared" si="27"/>
        <v>87723</v>
      </c>
      <c r="H39" s="21" t="s">
        <v>133</v>
      </c>
      <c r="I39" s="15">
        <v>18</v>
      </c>
      <c r="J39" s="17">
        <v>2400</v>
      </c>
      <c r="K39" s="16">
        <f t="shared" si="1"/>
        <v>133.33333333333334</v>
      </c>
      <c r="L39" s="15">
        <v>18</v>
      </c>
      <c r="M39" s="17">
        <f t="shared" si="28"/>
        <v>2290.1785714285702</v>
      </c>
      <c r="N39" s="16">
        <f t="shared" si="3"/>
        <v>127.23214285714279</v>
      </c>
      <c r="O39" s="18">
        <f t="shared" si="4"/>
        <v>0</v>
      </c>
      <c r="P39" s="19">
        <f t="shared" si="5"/>
        <v>-6.1011904761905527</v>
      </c>
      <c r="Q39" s="20">
        <f t="shared" si="6"/>
        <v>0.95424107142857084</v>
      </c>
      <c r="R39" s="170"/>
      <c r="S39" s="27">
        <v>0.21875000000000003</v>
      </c>
      <c r="T39" s="27">
        <v>0.29652777777777783</v>
      </c>
      <c r="U39" s="4">
        <f t="shared" ref="U39:U45" si="30">(S39-T38)*24*60</f>
        <v>28.000000000000021</v>
      </c>
      <c r="V39" s="21">
        <f t="shared" si="29"/>
        <v>112.00000000000004</v>
      </c>
      <c r="W39" s="4"/>
      <c r="X39" s="4"/>
      <c r="Y39" s="4"/>
      <c r="Z39" s="4"/>
      <c r="AA39" s="162"/>
      <c r="AB39" s="162"/>
      <c r="AC39" s="24"/>
      <c r="AD39" s="24"/>
      <c r="AE39" s="18">
        <f t="shared" si="8"/>
        <v>-109.82142857142981</v>
      </c>
      <c r="AF39" s="20">
        <f t="shared" si="9"/>
        <v>0.95424107142857095</v>
      </c>
      <c r="AG39" s="170"/>
    </row>
    <row r="40" spans="1:33">
      <c r="A40" s="189" t="s">
        <v>982</v>
      </c>
      <c r="B40" s="35" t="s">
        <v>97</v>
      </c>
      <c r="C40" s="163" t="s">
        <v>105</v>
      </c>
      <c r="D40" s="163"/>
      <c r="E40" s="35">
        <v>26.39</v>
      </c>
      <c r="F40" s="4">
        <v>3600</v>
      </c>
      <c r="G40" s="4">
        <f t="shared" si="27"/>
        <v>95004</v>
      </c>
      <c r="H40" s="21">
        <v>2</v>
      </c>
      <c r="I40" s="15">
        <v>19</v>
      </c>
      <c r="J40" s="17">
        <v>2400</v>
      </c>
      <c r="K40" s="16">
        <f t="shared" si="1"/>
        <v>126.31578947368421</v>
      </c>
      <c r="L40" s="15">
        <v>19</v>
      </c>
      <c r="M40" s="17">
        <f t="shared" si="28"/>
        <v>2297.872340425532</v>
      </c>
      <c r="N40" s="16">
        <f t="shared" si="3"/>
        <v>120.94064949608064</v>
      </c>
      <c r="O40" s="18">
        <f t="shared" si="4"/>
        <v>0</v>
      </c>
      <c r="P40" s="19">
        <f t="shared" si="5"/>
        <v>-5.3751399776035669</v>
      </c>
      <c r="Q40" s="20">
        <f t="shared" si="6"/>
        <v>0.95744680851063846</v>
      </c>
      <c r="R40" s="170"/>
      <c r="S40" s="27">
        <v>0.30069444444444449</v>
      </c>
      <c r="T40" s="27">
        <v>0.36597222222222225</v>
      </c>
      <c r="U40" s="4">
        <f t="shared" si="30"/>
        <v>5.9999999999999787</v>
      </c>
      <c r="V40" s="21">
        <f t="shared" si="29"/>
        <v>93.999999999999986</v>
      </c>
      <c r="W40" s="4"/>
      <c r="X40" s="4"/>
      <c r="Y40" s="4"/>
      <c r="Z40" s="4"/>
      <c r="AA40" s="162"/>
      <c r="AB40" s="162"/>
      <c r="AC40" s="24"/>
      <c r="AD40" s="24"/>
      <c r="AE40" s="18">
        <f t="shared" si="8"/>
        <v>-102.127659574468</v>
      </c>
      <c r="AF40" s="20">
        <f t="shared" si="9"/>
        <v>0.95744680851063835</v>
      </c>
      <c r="AG40" s="170"/>
    </row>
    <row r="41" spans="1:33">
      <c r="A41" s="189" t="s">
        <v>982</v>
      </c>
      <c r="B41" s="35" t="s">
        <v>97</v>
      </c>
      <c r="C41" s="163" t="s">
        <v>107</v>
      </c>
      <c r="D41" s="163"/>
      <c r="E41" s="35">
        <v>20.52</v>
      </c>
      <c r="F41" s="4">
        <v>3011</v>
      </c>
      <c r="G41" s="4">
        <f t="shared" si="27"/>
        <v>61785.72</v>
      </c>
      <c r="H41" s="21" t="s">
        <v>133</v>
      </c>
      <c r="I41" s="15">
        <v>18</v>
      </c>
      <c r="J41" s="17">
        <v>2400</v>
      </c>
      <c r="K41" s="16">
        <f t="shared" si="1"/>
        <v>133.33333333333334</v>
      </c>
      <c r="L41" s="15">
        <v>18</v>
      </c>
      <c r="M41" s="17">
        <f t="shared" si="28"/>
        <v>2286.8354430379732</v>
      </c>
      <c r="N41" s="16">
        <f t="shared" si="3"/>
        <v>127.04641350210962</v>
      </c>
      <c r="O41" s="18">
        <f t="shared" si="4"/>
        <v>0</v>
      </c>
      <c r="P41" s="19">
        <f t="shared" si="5"/>
        <v>-6.2869198312237273</v>
      </c>
      <c r="Q41" s="20">
        <f t="shared" si="6"/>
        <v>0.95284810126582209</v>
      </c>
      <c r="R41" s="170"/>
      <c r="S41" s="27">
        <v>0.37152777777777779</v>
      </c>
      <c r="T41" s="27">
        <v>0.42638888888888893</v>
      </c>
      <c r="U41" s="4">
        <f t="shared" si="30"/>
        <v>7.9999999999999716</v>
      </c>
      <c r="V41" s="21">
        <f t="shared" si="29"/>
        <v>79.000000000000043</v>
      </c>
      <c r="W41" s="22"/>
      <c r="X41" s="22"/>
      <c r="Y41" s="22"/>
      <c r="Z41" s="22"/>
      <c r="AA41" s="162"/>
      <c r="AB41" s="162"/>
      <c r="AC41" s="24"/>
      <c r="AD41" s="24"/>
      <c r="AE41" s="18">
        <f t="shared" si="8"/>
        <v>-113.16455696202684</v>
      </c>
      <c r="AF41" s="20">
        <f t="shared" si="9"/>
        <v>0.9528481012658222</v>
      </c>
      <c r="AG41" s="170"/>
    </row>
    <row r="42" spans="1:33">
      <c r="A42" s="189" t="s">
        <v>62</v>
      </c>
      <c r="B42" s="35" t="s">
        <v>97</v>
      </c>
      <c r="C42" s="163" t="s">
        <v>304</v>
      </c>
      <c r="D42" s="163"/>
      <c r="E42" s="35">
        <v>22.69</v>
      </c>
      <c r="F42" s="4">
        <v>3200</v>
      </c>
      <c r="G42" s="4">
        <f t="shared" si="27"/>
        <v>72608</v>
      </c>
      <c r="H42" s="21">
        <v>2</v>
      </c>
      <c r="I42" s="15">
        <v>15</v>
      </c>
      <c r="J42" s="17">
        <v>2400</v>
      </c>
      <c r="K42" s="16">
        <f t="shared" si="1"/>
        <v>160</v>
      </c>
      <c r="L42" s="15">
        <v>15</v>
      </c>
      <c r="M42" s="17">
        <f t="shared" si="28"/>
        <v>2285.7142857142849</v>
      </c>
      <c r="N42" s="16">
        <f t="shared" si="3"/>
        <v>152.38095238095232</v>
      </c>
      <c r="O42" s="18">
        <f t="shared" si="4"/>
        <v>0</v>
      </c>
      <c r="P42" s="19">
        <f t="shared" si="5"/>
        <v>-7.6190476190476772</v>
      </c>
      <c r="Q42" s="20">
        <f t="shared" si="6"/>
        <v>0.952380952380952</v>
      </c>
      <c r="R42" s="170"/>
      <c r="S42" s="27">
        <v>0.43055555555555558</v>
      </c>
      <c r="T42" s="27">
        <v>0.48888888888888893</v>
      </c>
      <c r="U42" s="4">
        <f t="shared" si="30"/>
        <v>5.9999999999999787</v>
      </c>
      <c r="V42" s="21">
        <f t="shared" si="29"/>
        <v>84.000000000000028</v>
      </c>
      <c r="W42" s="22">
        <f>T42</f>
        <v>0.48888888888888893</v>
      </c>
      <c r="X42" s="22">
        <f>S43</f>
        <v>0.52986111111111112</v>
      </c>
      <c r="Y42" s="22"/>
      <c r="Z42" s="22"/>
      <c r="AA42" s="162"/>
      <c r="AB42" s="162"/>
      <c r="AC42" s="24"/>
      <c r="AD42" s="24"/>
      <c r="AE42" s="18">
        <f t="shared" si="8"/>
        <v>-114.28571428571513</v>
      </c>
      <c r="AF42" s="20">
        <f t="shared" si="9"/>
        <v>0.952380952380952</v>
      </c>
      <c r="AG42" s="170"/>
    </row>
    <row r="43" spans="1:33">
      <c r="A43" s="189" t="s">
        <v>62</v>
      </c>
      <c r="B43" s="35" t="s">
        <v>97</v>
      </c>
      <c r="C43" s="163" t="s">
        <v>105</v>
      </c>
      <c r="D43" s="163"/>
      <c r="E43" s="35">
        <v>26.39</v>
      </c>
      <c r="F43" s="4">
        <v>2514</v>
      </c>
      <c r="G43" s="4">
        <f t="shared" si="27"/>
        <v>66344.460000000006</v>
      </c>
      <c r="H43" s="21" t="s">
        <v>133</v>
      </c>
      <c r="I43" s="15">
        <v>19</v>
      </c>
      <c r="J43" s="17">
        <v>2400</v>
      </c>
      <c r="K43" s="16">
        <f t="shared" si="1"/>
        <v>126.31578947368421</v>
      </c>
      <c r="L43" s="15">
        <v>19</v>
      </c>
      <c r="M43" s="17">
        <f t="shared" si="28"/>
        <v>2285.4545454545428</v>
      </c>
      <c r="N43" s="16">
        <f t="shared" si="3"/>
        <v>120.28708133971277</v>
      </c>
      <c r="O43" s="18">
        <f t="shared" si="4"/>
        <v>0</v>
      </c>
      <c r="P43" s="19">
        <f t="shared" si="5"/>
        <v>-6.0287081339714348</v>
      </c>
      <c r="Q43" s="20">
        <f t="shared" si="6"/>
        <v>0.95227272727272616</v>
      </c>
      <c r="R43" s="170"/>
      <c r="S43" s="27">
        <v>0.52986111111111112</v>
      </c>
      <c r="T43" s="27">
        <v>0.57569444444444451</v>
      </c>
      <c r="U43" s="4">
        <f t="shared" si="30"/>
        <v>58.99999999999995</v>
      </c>
      <c r="V43" s="21">
        <f t="shared" si="29"/>
        <v>66.000000000000085</v>
      </c>
      <c r="W43" s="22"/>
      <c r="X43" s="22"/>
      <c r="Y43" s="22"/>
      <c r="Z43" s="22"/>
      <c r="AA43" s="162"/>
      <c r="AB43" s="162"/>
      <c r="AC43" s="24"/>
      <c r="AD43" s="24"/>
      <c r="AE43" s="18">
        <f t="shared" si="8"/>
        <v>-114.54545454545723</v>
      </c>
      <c r="AF43" s="20">
        <f t="shared" si="9"/>
        <v>0.95227272727272616</v>
      </c>
      <c r="AG43" s="170"/>
    </row>
    <row r="44" spans="1:33">
      <c r="A44" s="189" t="s">
        <v>982</v>
      </c>
      <c r="B44" s="35" t="s">
        <v>97</v>
      </c>
      <c r="C44" s="163" t="s">
        <v>103</v>
      </c>
      <c r="D44" s="163"/>
      <c r="E44" s="35">
        <v>26.2</v>
      </c>
      <c r="F44" s="4">
        <v>3077</v>
      </c>
      <c r="G44" s="4">
        <f t="shared" si="27"/>
        <v>80617.399999999994</v>
      </c>
      <c r="H44" s="21" t="s">
        <v>133</v>
      </c>
      <c r="I44" s="15">
        <v>18</v>
      </c>
      <c r="J44" s="17">
        <v>2400</v>
      </c>
      <c r="K44" s="16">
        <f t="shared" si="1"/>
        <v>133.33333333333334</v>
      </c>
      <c r="L44" s="15">
        <v>18</v>
      </c>
      <c r="M44" s="17">
        <f t="shared" si="28"/>
        <v>2307.7499999999991</v>
      </c>
      <c r="N44" s="16">
        <f t="shared" si="3"/>
        <v>128.20833333333329</v>
      </c>
      <c r="O44" s="18">
        <f t="shared" si="4"/>
        <v>0</v>
      </c>
      <c r="P44" s="19">
        <f t="shared" si="5"/>
        <v>-5.1250000000000568</v>
      </c>
      <c r="Q44" s="20">
        <f t="shared" si="6"/>
        <v>0.96156249999999954</v>
      </c>
      <c r="R44" s="170"/>
      <c r="S44" s="27">
        <v>0.5805555555555556</v>
      </c>
      <c r="T44" s="27">
        <v>0.63611111111111118</v>
      </c>
      <c r="U44" s="4">
        <f t="shared" si="30"/>
        <v>6.9999999999999751</v>
      </c>
      <c r="V44" s="21">
        <f t="shared" si="29"/>
        <v>80.000000000000028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-92.250000000000909</v>
      </c>
      <c r="AF44" s="20">
        <f t="shared" si="9"/>
        <v>0.96156249999999965</v>
      </c>
      <c r="AG44" s="170"/>
    </row>
    <row r="45" spans="1:33">
      <c r="A45" s="189" t="s">
        <v>982</v>
      </c>
      <c r="B45" s="35" t="s">
        <v>97</v>
      </c>
      <c r="C45" s="163" t="s">
        <v>304</v>
      </c>
      <c r="D45" s="163"/>
      <c r="E45" s="35">
        <v>22.69</v>
      </c>
      <c r="F45" s="4">
        <v>2281</v>
      </c>
      <c r="G45" s="4">
        <f t="shared" si="27"/>
        <v>51755.89</v>
      </c>
      <c r="H45" s="21" t="s">
        <v>133</v>
      </c>
      <c r="I45" s="15">
        <v>15</v>
      </c>
      <c r="J45" s="17">
        <v>2400</v>
      </c>
      <c r="K45" s="16">
        <f t="shared" si="1"/>
        <v>160</v>
      </c>
      <c r="L45" s="15">
        <v>15</v>
      </c>
      <c r="M45" s="17">
        <f t="shared" si="28"/>
        <v>2281.0000000000023</v>
      </c>
      <c r="N45" s="16">
        <f t="shared" si="3"/>
        <v>152.0666666666668</v>
      </c>
      <c r="O45" s="18">
        <f t="shared" si="4"/>
        <v>0</v>
      </c>
      <c r="P45" s="19">
        <f t="shared" si="5"/>
        <v>-7.933333333333195</v>
      </c>
      <c r="Q45" s="20">
        <f t="shared" si="6"/>
        <v>0.95041666666666758</v>
      </c>
      <c r="R45" s="170"/>
      <c r="S45" s="27">
        <v>0.64097222222222228</v>
      </c>
      <c r="T45" s="27">
        <v>0.68263888888888891</v>
      </c>
      <c r="U45" s="4">
        <f t="shared" si="30"/>
        <v>6.9999999999999751</v>
      </c>
      <c r="V45" s="21">
        <f t="shared" si="29"/>
        <v>59.999999999999943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-118.99999999999773</v>
      </c>
      <c r="AF45" s="20">
        <f t="shared" si="9"/>
        <v>0.95041666666666758</v>
      </c>
      <c r="AG45" s="170"/>
    </row>
    <row r="46" spans="1:33">
      <c r="A46" s="189" t="s">
        <v>982</v>
      </c>
      <c r="B46" s="16" t="s">
        <v>983</v>
      </c>
      <c r="C46" s="171"/>
      <c r="D46" s="171"/>
      <c r="E46" s="36"/>
      <c r="F46" s="16"/>
      <c r="G46" s="16"/>
      <c r="H46" s="4"/>
      <c r="I46" s="29">
        <v>17.5</v>
      </c>
      <c r="J46" s="17">
        <v>2400</v>
      </c>
      <c r="K46" s="16">
        <f t="shared" si="1"/>
        <v>137.14285714285714</v>
      </c>
      <c r="L46" s="29">
        <v>17.5</v>
      </c>
      <c r="M46" s="17">
        <f>AVERAGE(M38:M45)</f>
        <v>2291.7338258277064</v>
      </c>
      <c r="N46" s="16">
        <f t="shared" si="3"/>
        <v>130.95621861872607</v>
      </c>
      <c r="O46" s="18">
        <f t="shared" si="4"/>
        <v>0</v>
      </c>
      <c r="P46" s="19">
        <f t="shared" si="5"/>
        <v>-6.1866385241310695</v>
      </c>
      <c r="Q46" s="20">
        <f t="shared" si="6"/>
        <v>0.95488909409487766</v>
      </c>
      <c r="R46" s="170"/>
      <c r="S46" s="27"/>
      <c r="T46" s="27"/>
      <c r="U46" s="16"/>
      <c r="V46" s="21"/>
      <c r="W46" s="16"/>
      <c r="X46" s="16"/>
      <c r="Y46" s="30">
        <f>SUM(Y38:Y45)</f>
        <v>0</v>
      </c>
      <c r="Z46" s="30">
        <f>SUM(Z38:Z45)</f>
        <v>0</v>
      </c>
      <c r="AA46" s="166"/>
      <c r="AB46" s="166"/>
      <c r="AC46" s="30">
        <v>8</v>
      </c>
      <c r="AD46" s="30">
        <f>SUM(AD38:AD45)</f>
        <v>0</v>
      </c>
      <c r="AE46" s="18">
        <f t="shared" si="8"/>
        <v>-108.26617417229363</v>
      </c>
      <c r="AF46" s="20">
        <f t="shared" si="9"/>
        <v>0.95488909409487766</v>
      </c>
      <c r="AG46" s="170"/>
    </row>
    <row r="47" spans="1:33" ht="15.75" customHeight="1">
      <c r="A47" s="182" t="s">
        <v>984</v>
      </c>
      <c r="B47" s="35" t="s">
        <v>108</v>
      </c>
      <c r="C47" s="174" t="s">
        <v>109</v>
      </c>
      <c r="D47" s="175"/>
      <c r="E47" s="35">
        <v>34.36</v>
      </c>
      <c r="F47" s="4">
        <v>2321</v>
      </c>
      <c r="G47" s="4">
        <f t="shared" ref="G47:G55" si="31">E47*F47</f>
        <v>79749.56</v>
      </c>
      <c r="H47" s="21" t="s">
        <v>133</v>
      </c>
      <c r="I47" s="15">
        <v>10</v>
      </c>
      <c r="J47" s="17">
        <v>3000</v>
      </c>
      <c r="K47" s="16">
        <f t="shared" si="1"/>
        <v>300</v>
      </c>
      <c r="L47" s="15">
        <v>10</v>
      </c>
      <c r="M47" s="17">
        <f t="shared" ref="M47:M55" si="32">F47/V47*60</f>
        <v>2901.2500000000009</v>
      </c>
      <c r="N47" s="17">
        <f t="shared" si="3"/>
        <v>290.12500000000011</v>
      </c>
      <c r="O47" s="18">
        <f t="shared" si="4"/>
        <v>0</v>
      </c>
      <c r="P47" s="19">
        <f t="shared" si="5"/>
        <v>-9.8749999999998863</v>
      </c>
      <c r="Q47" s="20">
        <f t="shared" si="6"/>
        <v>0.96708333333333374</v>
      </c>
      <c r="R47" s="185">
        <f>Q56</f>
        <v>0.95767101041660951</v>
      </c>
      <c r="S47" s="27">
        <v>0.20833333333333334</v>
      </c>
      <c r="T47" s="27">
        <v>0.24166666666666667</v>
      </c>
      <c r="U47" s="27"/>
      <c r="V47" s="21">
        <f t="shared" ref="V47:V55" si="33">(T47-S47)*24*60</f>
        <v>47.999999999999986</v>
      </c>
      <c r="W47" s="22"/>
      <c r="X47" s="22"/>
      <c r="Y47" s="25"/>
      <c r="Z47" s="25"/>
      <c r="AA47" s="176"/>
      <c r="AB47" s="177"/>
      <c r="AC47" s="24">
        <v>9</v>
      </c>
      <c r="AD47" s="24"/>
      <c r="AE47" s="18">
        <f t="shared" si="8"/>
        <v>-98.749999999999091</v>
      </c>
      <c r="AF47" s="20">
        <f t="shared" si="9"/>
        <v>0.96708333333333363</v>
      </c>
      <c r="AG47" s="185">
        <f>AF56</f>
        <v>0.95767101041660951</v>
      </c>
    </row>
    <row r="48" spans="1:33" ht="15.75" customHeight="1">
      <c r="A48" s="183" t="s">
        <v>984</v>
      </c>
      <c r="B48" s="35" t="s">
        <v>108</v>
      </c>
      <c r="C48" s="174" t="s">
        <v>110</v>
      </c>
      <c r="D48" s="175"/>
      <c r="E48" s="35">
        <v>26.78</v>
      </c>
      <c r="F48" s="4">
        <v>2955</v>
      </c>
      <c r="G48" s="4">
        <f t="shared" si="31"/>
        <v>79134.900000000009</v>
      </c>
      <c r="H48" s="21" t="s">
        <v>133</v>
      </c>
      <c r="I48" s="15">
        <v>10</v>
      </c>
      <c r="J48" s="17">
        <v>3000</v>
      </c>
      <c r="K48" s="16">
        <f t="shared" si="1"/>
        <v>300</v>
      </c>
      <c r="L48" s="15">
        <v>10</v>
      </c>
      <c r="M48" s="17">
        <f t="shared" si="32"/>
        <v>2859.6774193548376</v>
      </c>
      <c r="N48" s="17">
        <f t="shared" si="3"/>
        <v>285.96774193548379</v>
      </c>
      <c r="O48" s="18">
        <f t="shared" si="4"/>
        <v>0</v>
      </c>
      <c r="P48" s="19">
        <f t="shared" si="5"/>
        <v>-14.032258064516213</v>
      </c>
      <c r="Q48" s="20">
        <f t="shared" si="6"/>
        <v>0.95322580645161259</v>
      </c>
      <c r="R48" s="186"/>
      <c r="S48" s="27">
        <v>0.24583333333333335</v>
      </c>
      <c r="T48" s="27">
        <v>0.28888888888888892</v>
      </c>
      <c r="U48" s="4">
        <f t="shared" ref="U48:U55" si="34">(S48-T47)*24*60</f>
        <v>6.0000000000000187</v>
      </c>
      <c r="V48" s="21">
        <f t="shared" si="33"/>
        <v>62.000000000000021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-140.32258064516236</v>
      </c>
      <c r="AF48" s="20">
        <f t="shared" si="9"/>
        <v>0.95322580645161259</v>
      </c>
      <c r="AG48" s="186"/>
    </row>
    <row r="49" spans="1:33" ht="15.75" customHeight="1">
      <c r="A49" s="183" t="s">
        <v>984</v>
      </c>
      <c r="B49" s="35" t="s">
        <v>108</v>
      </c>
      <c r="C49" s="174" t="s">
        <v>111</v>
      </c>
      <c r="D49" s="175"/>
      <c r="E49" s="35">
        <v>21.13</v>
      </c>
      <c r="F49" s="4">
        <v>3400</v>
      </c>
      <c r="G49" s="4">
        <f t="shared" si="31"/>
        <v>71842</v>
      </c>
      <c r="H49" s="21">
        <v>2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2873.2394366197191</v>
      </c>
      <c r="N49" s="17">
        <f t="shared" si="3"/>
        <v>287.3239436619719</v>
      </c>
      <c r="O49" s="18">
        <f t="shared" si="4"/>
        <v>0</v>
      </c>
      <c r="P49" s="19">
        <f t="shared" si="5"/>
        <v>-12.676056338028104</v>
      </c>
      <c r="Q49" s="20">
        <f t="shared" si="6"/>
        <v>0.9577464788732396</v>
      </c>
      <c r="R49" s="186"/>
      <c r="S49" s="27">
        <v>0.29444444444444445</v>
      </c>
      <c r="T49" s="27">
        <v>0.34375</v>
      </c>
      <c r="U49" s="4">
        <f t="shared" si="34"/>
        <v>7.9999999999999716</v>
      </c>
      <c r="V49" s="21">
        <f t="shared" si="33"/>
        <v>70.999999999999986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-126.76056338028093</v>
      </c>
      <c r="AF49" s="20">
        <f t="shared" si="9"/>
        <v>0.95774647887323971</v>
      </c>
      <c r="AG49" s="186"/>
    </row>
    <row r="50" spans="1:33" ht="15.75" customHeight="1">
      <c r="A50" s="183" t="s">
        <v>984</v>
      </c>
      <c r="B50" s="35" t="s">
        <v>108</v>
      </c>
      <c r="C50" s="174" t="s">
        <v>112</v>
      </c>
      <c r="D50" s="175"/>
      <c r="E50" s="35">
        <v>27.17</v>
      </c>
      <c r="F50" s="4">
        <v>4400</v>
      </c>
      <c r="G50" s="4">
        <f t="shared" si="31"/>
        <v>119548.00000000001</v>
      </c>
      <c r="H50" s="21">
        <v>2</v>
      </c>
      <c r="I50" s="15">
        <v>10</v>
      </c>
      <c r="J50" s="17">
        <v>3000</v>
      </c>
      <c r="K50" s="16">
        <f t="shared" si="1"/>
        <v>300</v>
      </c>
      <c r="L50" s="15">
        <v>10</v>
      </c>
      <c r="M50" s="17">
        <f t="shared" si="32"/>
        <v>2869.5652173913045</v>
      </c>
      <c r="N50" s="17">
        <f t="shared" si="3"/>
        <v>286.95652173913044</v>
      </c>
      <c r="O50" s="18">
        <f t="shared" si="4"/>
        <v>0</v>
      </c>
      <c r="P50" s="19">
        <f t="shared" si="5"/>
        <v>-13.043478260869563</v>
      </c>
      <c r="Q50" s="20">
        <f t="shared" si="6"/>
        <v>0.95652173913043481</v>
      </c>
      <c r="R50" s="186"/>
      <c r="S50" s="27">
        <v>0.34930555555555554</v>
      </c>
      <c r="T50" s="27">
        <v>0.41319444444444442</v>
      </c>
      <c r="U50" s="4">
        <f t="shared" si="34"/>
        <v>7.9999999999999716</v>
      </c>
      <c r="V50" s="21">
        <f t="shared" si="33"/>
        <v>92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-130.43478260869551</v>
      </c>
      <c r="AF50" s="20">
        <f t="shared" si="9"/>
        <v>0.95652173913043481</v>
      </c>
      <c r="AG50" s="186"/>
    </row>
    <row r="51" spans="1:33" ht="15.75" customHeight="1">
      <c r="A51" s="183" t="s">
        <v>984</v>
      </c>
      <c r="B51" s="35" t="s">
        <v>108</v>
      </c>
      <c r="C51" s="174" t="s">
        <v>305</v>
      </c>
      <c r="D51" s="175"/>
      <c r="E51" s="35">
        <v>28.3</v>
      </c>
      <c r="F51" s="4">
        <v>3479</v>
      </c>
      <c r="G51" s="4">
        <f t="shared" si="31"/>
        <v>98455.7</v>
      </c>
      <c r="H51" s="21" t="s">
        <v>133</v>
      </c>
      <c r="I51" s="15">
        <v>8</v>
      </c>
      <c r="J51" s="17">
        <v>3000</v>
      </c>
      <c r="K51" s="16">
        <f t="shared" si="1"/>
        <v>375</v>
      </c>
      <c r="L51" s="15">
        <v>8</v>
      </c>
      <c r="M51" s="17">
        <f t="shared" si="32"/>
        <v>2859.4520547945212</v>
      </c>
      <c r="N51" s="17">
        <f t="shared" si="3"/>
        <v>357.43150684931516</v>
      </c>
      <c r="O51" s="18">
        <f t="shared" si="4"/>
        <v>0</v>
      </c>
      <c r="P51" s="19">
        <f t="shared" si="5"/>
        <v>-17.568493150684844</v>
      </c>
      <c r="Q51" s="20">
        <f t="shared" si="6"/>
        <v>0.95315068493150712</v>
      </c>
      <c r="R51" s="186"/>
      <c r="S51" s="27">
        <v>0.41874999999999996</v>
      </c>
      <c r="T51" s="27">
        <v>0.46944444444444439</v>
      </c>
      <c r="U51" s="4">
        <f t="shared" si="34"/>
        <v>7.9999999999999716</v>
      </c>
      <c r="V51" s="21">
        <f t="shared" si="33"/>
        <v>72.999999999999986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-140.54794520547875</v>
      </c>
      <c r="AF51" s="20">
        <f t="shared" si="9"/>
        <v>0.95315068493150712</v>
      </c>
      <c r="AG51" s="186"/>
    </row>
    <row r="52" spans="1:33" ht="15.75" customHeight="1">
      <c r="A52" s="183" t="s">
        <v>984</v>
      </c>
      <c r="B52" s="35" t="s">
        <v>108</v>
      </c>
      <c r="C52" s="174" t="s">
        <v>113</v>
      </c>
      <c r="D52" s="175"/>
      <c r="E52" s="35">
        <v>35.869999999999997</v>
      </c>
      <c r="F52" s="4">
        <v>2500</v>
      </c>
      <c r="G52" s="4">
        <f t="shared" si="31"/>
        <v>89675</v>
      </c>
      <c r="H52" s="21">
        <v>2</v>
      </c>
      <c r="I52" s="15">
        <v>9</v>
      </c>
      <c r="J52" s="17">
        <v>3000</v>
      </c>
      <c r="K52" s="16">
        <f t="shared" si="1"/>
        <v>333.33333333333331</v>
      </c>
      <c r="L52" s="15">
        <v>9</v>
      </c>
      <c r="M52" s="17">
        <f t="shared" si="32"/>
        <v>2884.6153846153816</v>
      </c>
      <c r="N52" s="17">
        <f t="shared" si="3"/>
        <v>320.51282051282016</v>
      </c>
      <c r="O52" s="18">
        <f t="shared" si="4"/>
        <v>0</v>
      </c>
      <c r="P52" s="19">
        <f t="shared" si="5"/>
        <v>-12.820512820513159</v>
      </c>
      <c r="Q52" s="20">
        <f t="shared" si="6"/>
        <v>0.96153846153846056</v>
      </c>
      <c r="R52" s="186"/>
      <c r="S52" s="27">
        <v>0.47499999999999992</v>
      </c>
      <c r="T52" s="27">
        <v>0.51111111111111107</v>
      </c>
      <c r="U52" s="4">
        <f t="shared" si="34"/>
        <v>7.9999999999999716</v>
      </c>
      <c r="V52" s="21">
        <f t="shared" si="33"/>
        <v>52.000000000000057</v>
      </c>
      <c r="W52" s="22">
        <f>T52</f>
        <v>0.51111111111111107</v>
      </c>
      <c r="X52" s="22">
        <f>S53</f>
        <v>0.55208333333333326</v>
      </c>
      <c r="Y52" s="25"/>
      <c r="Z52" s="25"/>
      <c r="AA52" s="176"/>
      <c r="AB52" s="177"/>
      <c r="AC52" s="24"/>
      <c r="AD52" s="24"/>
      <c r="AE52" s="18">
        <f t="shared" si="8"/>
        <v>-115.38461538461843</v>
      </c>
      <c r="AF52" s="20">
        <f t="shared" si="9"/>
        <v>0.96153846153846056</v>
      </c>
      <c r="AG52" s="186"/>
    </row>
    <row r="53" spans="1:33" ht="15.75" customHeight="1">
      <c r="A53" s="183" t="s">
        <v>984</v>
      </c>
      <c r="B53" s="35" t="s">
        <v>108</v>
      </c>
      <c r="C53" s="174" t="s">
        <v>111</v>
      </c>
      <c r="D53" s="175"/>
      <c r="E53" s="35">
        <v>21.13</v>
      </c>
      <c r="F53" s="4">
        <v>2576</v>
      </c>
      <c r="G53" s="4">
        <f t="shared" si="31"/>
        <v>54430.879999999997</v>
      </c>
      <c r="H53" s="21" t="s">
        <v>133</v>
      </c>
      <c r="I53" s="15">
        <v>10</v>
      </c>
      <c r="J53" s="17">
        <v>3000</v>
      </c>
      <c r="K53" s="16">
        <f t="shared" si="1"/>
        <v>300</v>
      </c>
      <c r="L53" s="15">
        <v>10</v>
      </c>
      <c r="M53" s="17">
        <f t="shared" si="32"/>
        <v>2862.222222222224</v>
      </c>
      <c r="N53" s="17">
        <f t="shared" si="3"/>
        <v>286.2222222222224</v>
      </c>
      <c r="O53" s="18">
        <f t="shared" si="4"/>
        <v>0</v>
      </c>
      <c r="P53" s="19">
        <f t="shared" si="5"/>
        <v>-13.777777777777601</v>
      </c>
      <c r="Q53" s="20">
        <f t="shared" si="6"/>
        <v>0.95407407407407463</v>
      </c>
      <c r="R53" s="186"/>
      <c r="S53" s="27">
        <v>0.55208333333333326</v>
      </c>
      <c r="T53" s="27">
        <v>0.58958333333333324</v>
      </c>
      <c r="U53" s="4">
        <f t="shared" si="34"/>
        <v>58.99999999999995</v>
      </c>
      <c r="V53" s="21">
        <f t="shared" si="33"/>
        <v>53.999999999999972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-137.77777777777601</v>
      </c>
      <c r="AF53" s="20">
        <f t="shared" si="9"/>
        <v>0.95407407407407463</v>
      </c>
      <c r="AG53" s="186"/>
    </row>
    <row r="54" spans="1:33" ht="15.75" customHeight="1">
      <c r="A54" s="183" t="s">
        <v>984</v>
      </c>
      <c r="B54" s="35" t="s">
        <v>108</v>
      </c>
      <c r="C54" s="174" t="s">
        <v>112</v>
      </c>
      <c r="D54" s="175"/>
      <c r="E54" s="35">
        <v>27.17</v>
      </c>
      <c r="F54" s="4">
        <v>3410</v>
      </c>
      <c r="G54" s="4">
        <f t="shared" si="31"/>
        <v>92649.700000000012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32"/>
        <v>2881.6901408450676</v>
      </c>
      <c r="N54" s="17">
        <f t="shared" si="3"/>
        <v>288.16901408450678</v>
      </c>
      <c r="O54" s="18">
        <f t="shared" si="4"/>
        <v>0</v>
      </c>
      <c r="P54" s="19">
        <f t="shared" si="5"/>
        <v>-11.830985915493216</v>
      </c>
      <c r="Q54" s="20">
        <f t="shared" si="6"/>
        <v>0.96056338028168931</v>
      </c>
      <c r="R54" s="186"/>
      <c r="S54" s="27">
        <v>0.59513888888888877</v>
      </c>
      <c r="T54" s="27">
        <v>0.64444444444444438</v>
      </c>
      <c r="U54" s="4">
        <f t="shared" si="34"/>
        <v>7.9999999999999716</v>
      </c>
      <c r="V54" s="21">
        <f t="shared" si="33"/>
        <v>71.000000000000071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-118.30985915493238</v>
      </c>
      <c r="AF54" s="20">
        <f t="shared" si="9"/>
        <v>0.96056338028168919</v>
      </c>
      <c r="AG54" s="186"/>
    </row>
    <row r="55" spans="1:33" ht="15.75" customHeight="1">
      <c r="A55" s="183" t="s">
        <v>984</v>
      </c>
      <c r="B55" s="35" t="s">
        <v>108</v>
      </c>
      <c r="C55" s="174" t="s">
        <v>113</v>
      </c>
      <c r="D55" s="175"/>
      <c r="E55" s="35">
        <v>35.869999999999997</v>
      </c>
      <c r="F55" s="4">
        <v>1767</v>
      </c>
      <c r="G55" s="4">
        <f t="shared" si="31"/>
        <v>63382.289999999994</v>
      </c>
      <c r="H55" s="21" t="s">
        <v>133</v>
      </c>
      <c r="I55" s="15">
        <v>9</v>
      </c>
      <c r="J55" s="17">
        <v>3000</v>
      </c>
      <c r="K55" s="16">
        <f t="shared" si="1"/>
        <v>333.33333333333331</v>
      </c>
      <c r="L55" s="15">
        <v>9</v>
      </c>
      <c r="M55" s="17">
        <f t="shared" si="32"/>
        <v>2865.4054054054031</v>
      </c>
      <c r="N55" s="17">
        <f t="shared" si="3"/>
        <v>318.3783783783781</v>
      </c>
      <c r="O55" s="18">
        <f t="shared" si="4"/>
        <v>0</v>
      </c>
      <c r="P55" s="19">
        <f t="shared" si="5"/>
        <v>-14.954954954955213</v>
      </c>
      <c r="Q55" s="20">
        <f t="shared" si="6"/>
        <v>0.95513513513513437</v>
      </c>
      <c r="R55" s="186"/>
      <c r="S55" s="27">
        <v>0.64999999999999991</v>
      </c>
      <c r="T55" s="27">
        <v>0.67569444444444438</v>
      </c>
      <c r="U55" s="4">
        <f t="shared" si="34"/>
        <v>7.9999999999999716</v>
      </c>
      <c r="V55" s="21">
        <f t="shared" si="33"/>
        <v>37.000000000000028</v>
      </c>
      <c r="W55" s="22"/>
      <c r="X55" s="22"/>
      <c r="Y55" s="25"/>
      <c r="Z55" s="25"/>
      <c r="AA55" s="176"/>
      <c r="AB55" s="177"/>
      <c r="AC55" s="24"/>
      <c r="AD55" s="24"/>
      <c r="AE55" s="18">
        <f t="shared" si="8"/>
        <v>-134.59459459459686</v>
      </c>
      <c r="AF55" s="20">
        <f t="shared" si="9"/>
        <v>0.95513513513513437</v>
      </c>
      <c r="AG55" s="186"/>
    </row>
    <row r="56" spans="1:33" ht="15.75" customHeight="1">
      <c r="A56" s="184" t="s">
        <v>984</v>
      </c>
      <c r="B56" s="35" t="s">
        <v>983</v>
      </c>
      <c r="C56" s="164"/>
      <c r="D56" s="165"/>
      <c r="E56" s="37"/>
      <c r="F56" s="4"/>
      <c r="G56" s="4"/>
      <c r="H56" s="4"/>
      <c r="I56" s="29">
        <v>9.5555555555555554</v>
      </c>
      <c r="J56" s="17">
        <v>3000</v>
      </c>
      <c r="K56" s="16">
        <f t="shared" si="1"/>
        <v>313.95348837209303</v>
      </c>
      <c r="L56" s="29">
        <v>9.5555555555555554</v>
      </c>
      <c r="M56" s="17">
        <f>AVERAGE(M47:M55)</f>
        <v>2873.0130312498286</v>
      </c>
      <c r="N56" s="16">
        <f t="shared" si="3"/>
        <v>300.66415443312161</v>
      </c>
      <c r="O56" s="18">
        <f t="shared" si="4"/>
        <v>0</v>
      </c>
      <c r="P56" s="19">
        <f t="shared" si="5"/>
        <v>-13.289333938971424</v>
      </c>
      <c r="Q56" s="20">
        <f t="shared" si="6"/>
        <v>0.95767101041660951</v>
      </c>
      <c r="R56" s="187"/>
      <c r="S56" s="27"/>
      <c r="T56" s="27"/>
      <c r="U56" s="4"/>
      <c r="V56" s="21"/>
      <c r="W56" s="22"/>
      <c r="X56" s="22"/>
      <c r="Y56" s="30">
        <f>SUM(Y47:Y55)</f>
        <v>0</v>
      </c>
      <c r="Z56" s="30">
        <f>SUM(Z47:Z55)</f>
        <v>0</v>
      </c>
      <c r="AA56" s="180"/>
      <c r="AB56" s="181"/>
      <c r="AC56" s="30">
        <v>9</v>
      </c>
      <c r="AD56" s="30">
        <f>SUM(AD47:AD55)</f>
        <v>0</v>
      </c>
      <c r="AE56" s="18">
        <f t="shared" si="8"/>
        <v>-126.9869687501714</v>
      </c>
      <c r="AF56" s="20">
        <f t="shared" si="9"/>
        <v>0.95767101041660951</v>
      </c>
      <c r="AG56" s="187"/>
    </row>
    <row r="57" spans="1:33" ht="15.75" customHeight="1">
      <c r="A57" s="178" t="s">
        <v>985</v>
      </c>
      <c r="B57" s="35" t="s">
        <v>84</v>
      </c>
      <c r="C57" s="163" t="s">
        <v>114</v>
      </c>
      <c r="D57" s="163"/>
      <c r="E57" s="35">
        <v>46</v>
      </c>
      <c r="F57" s="38">
        <v>2154</v>
      </c>
      <c r="G57" s="4">
        <f t="shared" ref="G57:G65" si="35">E57*F57</f>
        <v>99084</v>
      </c>
      <c r="H57" s="21" t="s">
        <v>133</v>
      </c>
      <c r="I57" s="15">
        <v>17</v>
      </c>
      <c r="J57" s="17">
        <v>2000</v>
      </c>
      <c r="K57" s="16">
        <f t="shared" si="1"/>
        <v>117.64705882352941</v>
      </c>
      <c r="L57" s="15">
        <v>17</v>
      </c>
      <c r="M57" s="17">
        <f t="shared" ref="M57:M65" si="36">F57/V57*60</f>
        <v>1928.9552238805984</v>
      </c>
      <c r="N57" s="17">
        <f t="shared" si="3"/>
        <v>113.46795434591755</v>
      </c>
      <c r="O57" s="18">
        <f t="shared" si="4"/>
        <v>0</v>
      </c>
      <c r="P57" s="19">
        <f t="shared" si="5"/>
        <v>-4.1791044776118582</v>
      </c>
      <c r="Q57" s="20">
        <f t="shared" si="6"/>
        <v>0.96447761194029924</v>
      </c>
      <c r="R57" s="170">
        <f>Q66</f>
        <v>0.94810456464212123</v>
      </c>
      <c r="S57" s="27">
        <v>0.20833333333333334</v>
      </c>
      <c r="T57" s="27">
        <v>0.25486111111111109</v>
      </c>
      <c r="U57" s="27"/>
      <c r="V57" s="21">
        <f t="shared" ref="V57:V65" si="37">(T57-S57)*24*60</f>
        <v>66.999999999999957</v>
      </c>
      <c r="W57" s="27"/>
      <c r="X57" s="27"/>
      <c r="Y57" s="27"/>
      <c r="Z57" s="27"/>
      <c r="AA57" s="162"/>
      <c r="AB57" s="162"/>
      <c r="AC57" s="24">
        <v>9</v>
      </c>
      <c r="AD57" s="24"/>
      <c r="AE57" s="18">
        <f t="shared" si="8"/>
        <v>-71.044776119401604</v>
      </c>
      <c r="AF57" s="20">
        <f t="shared" si="9"/>
        <v>0.96447761194029924</v>
      </c>
      <c r="AG57" s="170">
        <f>AF66</f>
        <v>0.94810456464212123</v>
      </c>
    </row>
    <row r="58" spans="1:33" ht="15.75" customHeight="1">
      <c r="A58" s="178" t="s">
        <v>985</v>
      </c>
      <c r="B58" s="35" t="s">
        <v>78</v>
      </c>
      <c r="C58" s="163" t="s">
        <v>115</v>
      </c>
      <c r="D58" s="163"/>
      <c r="E58" s="35">
        <v>56.43</v>
      </c>
      <c r="F58" s="38">
        <v>1820</v>
      </c>
      <c r="G58" s="4">
        <f t="shared" si="35"/>
        <v>102702.6</v>
      </c>
      <c r="H58" s="21" t="s">
        <v>133</v>
      </c>
      <c r="I58" s="15">
        <v>22</v>
      </c>
      <c r="J58" s="17">
        <v>2000</v>
      </c>
      <c r="K58" s="16">
        <f t="shared" si="1"/>
        <v>90.909090909090907</v>
      </c>
      <c r="L58" s="15">
        <v>22</v>
      </c>
      <c r="M58" s="17">
        <f t="shared" si="36"/>
        <v>1819.9999999999991</v>
      </c>
      <c r="N58" s="17">
        <f t="shared" si="3"/>
        <v>82.727272727272691</v>
      </c>
      <c r="O58" s="18">
        <f t="shared" si="4"/>
        <v>0</v>
      </c>
      <c r="P58" s="19">
        <f t="shared" si="5"/>
        <v>-8.1818181818182154</v>
      </c>
      <c r="Q58" s="20">
        <f t="shared" si="6"/>
        <v>0.90999999999999959</v>
      </c>
      <c r="R58" s="170"/>
      <c r="S58" s="27">
        <v>0.2583333333333333</v>
      </c>
      <c r="T58" s="27">
        <v>0.3</v>
      </c>
      <c r="U58" s="4">
        <f t="shared" ref="U58:U65" si="38">IF(S58=TIME(17,0,0),"",(S58-T57)*24*60)</f>
        <v>4.9999999999999822</v>
      </c>
      <c r="V58" s="21">
        <f t="shared" si="37"/>
        <v>60.000000000000028</v>
      </c>
      <c r="W58" s="22"/>
      <c r="X58" s="22"/>
      <c r="Y58" s="22"/>
      <c r="Z58" s="22"/>
      <c r="AA58" s="162"/>
      <c r="AB58" s="162"/>
      <c r="AC58" s="24"/>
      <c r="AD58" s="24"/>
      <c r="AE58" s="18">
        <f t="shared" si="8"/>
        <v>-180.00000000000091</v>
      </c>
      <c r="AF58" s="20">
        <f t="shared" si="9"/>
        <v>0.90999999999999959</v>
      </c>
      <c r="AG58" s="170"/>
    </row>
    <row r="59" spans="1:33" ht="15.75" customHeight="1">
      <c r="A59" s="178" t="s">
        <v>985</v>
      </c>
      <c r="B59" s="35" t="s">
        <v>78</v>
      </c>
      <c r="C59" s="174" t="s">
        <v>116</v>
      </c>
      <c r="D59" s="175"/>
      <c r="E59" s="35">
        <v>51.75</v>
      </c>
      <c r="F59" s="38">
        <v>1367</v>
      </c>
      <c r="G59" s="4">
        <f t="shared" si="35"/>
        <v>70742.25</v>
      </c>
      <c r="H59" s="21" t="s">
        <v>133</v>
      </c>
      <c r="I59" s="15">
        <v>25</v>
      </c>
      <c r="J59" s="17">
        <v>2000</v>
      </c>
      <c r="K59" s="16">
        <f t="shared" si="1"/>
        <v>80</v>
      </c>
      <c r="L59" s="15">
        <v>25</v>
      </c>
      <c r="M59" s="17">
        <f t="shared" si="36"/>
        <v>1822.6666666666665</v>
      </c>
      <c r="N59" s="17">
        <f t="shared" si="3"/>
        <v>72.906666666666666</v>
      </c>
      <c r="O59" s="18">
        <f t="shared" si="4"/>
        <v>0</v>
      </c>
      <c r="P59" s="19">
        <f t="shared" si="5"/>
        <v>-7.0933333333333337</v>
      </c>
      <c r="Q59" s="20">
        <f t="shared" si="6"/>
        <v>0.91133333333333333</v>
      </c>
      <c r="R59" s="170"/>
      <c r="S59" s="27">
        <v>0.30555555555555552</v>
      </c>
      <c r="T59" s="27">
        <v>0.33680555555555552</v>
      </c>
      <c r="U59" s="4">
        <f t="shared" si="38"/>
        <v>7.9999999999999716</v>
      </c>
      <c r="V59" s="21">
        <f t="shared" si="37"/>
        <v>45</v>
      </c>
      <c r="W59" s="22"/>
      <c r="X59" s="22"/>
      <c r="Y59" s="25"/>
      <c r="Z59" s="25"/>
      <c r="AA59" s="162"/>
      <c r="AB59" s="162"/>
      <c r="AC59" s="24"/>
      <c r="AD59" s="24"/>
      <c r="AE59" s="18">
        <f t="shared" si="8"/>
        <v>-177.33333333333348</v>
      </c>
      <c r="AF59" s="20">
        <f t="shared" si="9"/>
        <v>0.91133333333333322</v>
      </c>
      <c r="AG59" s="170"/>
    </row>
    <row r="60" spans="1:33" ht="15.75" customHeight="1">
      <c r="A60" s="178" t="s">
        <v>985</v>
      </c>
      <c r="B60" s="35" t="s">
        <v>78</v>
      </c>
      <c r="C60" s="39" t="s">
        <v>117</v>
      </c>
      <c r="D60" s="40"/>
      <c r="E60" s="35">
        <v>54.09</v>
      </c>
      <c r="F60" s="38">
        <v>1396</v>
      </c>
      <c r="G60" s="4">
        <f t="shared" si="35"/>
        <v>75509.64</v>
      </c>
      <c r="H60" s="21" t="s">
        <v>133</v>
      </c>
      <c r="I60" s="15">
        <v>19</v>
      </c>
      <c r="J60" s="17">
        <v>2000</v>
      </c>
      <c r="K60" s="16">
        <f t="shared" si="1"/>
        <v>105.26315789473684</v>
      </c>
      <c r="L60" s="15">
        <v>19</v>
      </c>
      <c r="M60" s="17">
        <f t="shared" si="36"/>
        <v>1820.8695652173915</v>
      </c>
      <c r="N60" s="17">
        <f t="shared" si="3"/>
        <v>95.835240274599556</v>
      </c>
      <c r="O60" s="18">
        <f t="shared" si="4"/>
        <v>0</v>
      </c>
      <c r="P60" s="19">
        <f t="shared" si="5"/>
        <v>-9.4279176201372792</v>
      </c>
      <c r="Q60" s="20">
        <f t="shared" si="6"/>
        <v>0.91043478260869581</v>
      </c>
      <c r="R60" s="170"/>
      <c r="S60" s="27">
        <v>0.34236111111111106</v>
      </c>
      <c r="T60" s="27">
        <v>0.3743055555555555</v>
      </c>
      <c r="U60" s="4">
        <f t="shared" si="38"/>
        <v>7.9999999999999716</v>
      </c>
      <c r="V60" s="21">
        <f t="shared" si="37"/>
        <v>46</v>
      </c>
      <c r="W60" s="22"/>
      <c r="X60" s="22"/>
      <c r="Y60" s="25"/>
      <c r="Z60" s="25"/>
      <c r="AA60" s="162"/>
      <c r="AB60" s="162"/>
      <c r="AC60" s="24"/>
      <c r="AD60" s="24"/>
      <c r="AE60" s="18">
        <f t="shared" si="8"/>
        <v>-179.13043478260852</v>
      </c>
      <c r="AF60" s="20">
        <f t="shared" si="9"/>
        <v>0.9104347826086957</v>
      </c>
      <c r="AG60" s="170"/>
    </row>
    <row r="61" spans="1:33" ht="15.75" customHeight="1">
      <c r="A61" s="178" t="s">
        <v>985</v>
      </c>
      <c r="B61" s="35" t="s">
        <v>78</v>
      </c>
      <c r="C61" s="39" t="s">
        <v>118</v>
      </c>
      <c r="D61" s="40"/>
      <c r="E61" s="35">
        <v>57.73</v>
      </c>
      <c r="F61" s="38">
        <v>1211</v>
      </c>
      <c r="G61" s="4">
        <f t="shared" si="35"/>
        <v>69911.03</v>
      </c>
      <c r="H61" s="21" t="s">
        <v>133</v>
      </c>
      <c r="I61" s="15">
        <v>16</v>
      </c>
      <c r="J61" s="17">
        <v>1500</v>
      </c>
      <c r="K61" s="16">
        <f t="shared" si="1"/>
        <v>93.75</v>
      </c>
      <c r="L61" s="15">
        <v>16</v>
      </c>
      <c r="M61" s="17">
        <f t="shared" si="36"/>
        <v>1453.2000000000003</v>
      </c>
      <c r="N61" s="17">
        <f t="shared" si="3"/>
        <v>90.825000000000017</v>
      </c>
      <c r="O61" s="18">
        <f t="shared" si="4"/>
        <v>0</v>
      </c>
      <c r="P61" s="19">
        <f t="shared" si="5"/>
        <v>-2.9249999999999829</v>
      </c>
      <c r="Q61" s="20">
        <f t="shared" si="6"/>
        <v>0.96880000000000022</v>
      </c>
      <c r="R61" s="170"/>
      <c r="S61" s="27">
        <v>0.70833333333333337</v>
      </c>
      <c r="T61" s="27">
        <v>0.74305555555555558</v>
      </c>
      <c r="U61" s="4" t="str">
        <f t="shared" si="38"/>
        <v/>
      </c>
      <c r="V61" s="21">
        <f t="shared" si="37"/>
        <v>49.999999999999986</v>
      </c>
      <c r="W61" s="22"/>
      <c r="X61" s="22"/>
      <c r="Y61" s="25"/>
      <c r="Z61" s="25"/>
      <c r="AA61" s="162"/>
      <c r="AB61" s="162"/>
      <c r="AC61" s="24"/>
      <c r="AD61" s="24"/>
      <c r="AE61" s="18">
        <f t="shared" si="8"/>
        <v>-46.799999999999727</v>
      </c>
      <c r="AF61" s="20">
        <f t="shared" si="9"/>
        <v>0.96880000000000022</v>
      </c>
      <c r="AG61" s="170"/>
    </row>
    <row r="62" spans="1:33" ht="15.75" customHeight="1">
      <c r="A62" s="178" t="s">
        <v>985</v>
      </c>
      <c r="B62" s="35" t="s">
        <v>78</v>
      </c>
      <c r="C62" s="174" t="s">
        <v>119</v>
      </c>
      <c r="D62" s="175"/>
      <c r="E62" s="35">
        <v>54.29</v>
      </c>
      <c r="F62" s="38">
        <v>1322</v>
      </c>
      <c r="G62" s="4">
        <f t="shared" si="35"/>
        <v>71771.38</v>
      </c>
      <c r="H62" s="21" t="s">
        <v>133</v>
      </c>
      <c r="I62" s="15">
        <v>20</v>
      </c>
      <c r="J62" s="17">
        <v>2000</v>
      </c>
      <c r="K62" s="16">
        <f t="shared" si="1"/>
        <v>100</v>
      </c>
      <c r="L62" s="15">
        <v>20</v>
      </c>
      <c r="M62" s="17">
        <f t="shared" si="36"/>
        <v>1934.6341463414628</v>
      </c>
      <c r="N62" s="17">
        <f t="shared" si="3"/>
        <v>96.731707317073145</v>
      </c>
      <c r="O62" s="18">
        <f t="shared" si="4"/>
        <v>0</v>
      </c>
      <c r="P62" s="19">
        <f t="shared" si="5"/>
        <v>-3.2682926829268553</v>
      </c>
      <c r="Q62" s="20">
        <f t="shared" si="6"/>
        <v>0.96731707317073146</v>
      </c>
      <c r="R62" s="170"/>
      <c r="S62" s="27">
        <v>0.74861111111111112</v>
      </c>
      <c r="T62" s="27">
        <v>0.77708333333333335</v>
      </c>
      <c r="U62" s="4">
        <f t="shared" si="38"/>
        <v>7.9999999999999716</v>
      </c>
      <c r="V62" s="21">
        <f t="shared" si="37"/>
        <v>41.000000000000014</v>
      </c>
      <c r="W62" s="22"/>
      <c r="X62" s="22"/>
      <c r="Y62" s="25"/>
      <c r="Z62" s="25"/>
      <c r="AA62" s="176"/>
      <c r="AB62" s="177"/>
      <c r="AC62" s="24"/>
      <c r="AD62" s="24"/>
      <c r="AE62" s="18">
        <f t="shared" si="8"/>
        <v>-65.365853658537162</v>
      </c>
      <c r="AF62" s="20">
        <f t="shared" si="9"/>
        <v>0.96731707317073146</v>
      </c>
      <c r="AG62" s="170"/>
    </row>
    <row r="63" spans="1:33" ht="15.75" customHeight="1">
      <c r="A63" s="178" t="s">
        <v>985</v>
      </c>
      <c r="B63" s="35" t="s">
        <v>78</v>
      </c>
      <c r="C63" s="174" t="s">
        <v>120</v>
      </c>
      <c r="D63" s="175"/>
      <c r="E63" s="35">
        <v>55.56</v>
      </c>
      <c r="F63" s="38">
        <v>1000</v>
      </c>
      <c r="G63" s="4">
        <f t="shared" si="35"/>
        <v>55560</v>
      </c>
      <c r="H63" s="21">
        <v>2</v>
      </c>
      <c r="I63" s="15">
        <v>17</v>
      </c>
      <c r="J63" s="17">
        <v>2000</v>
      </c>
      <c r="K63" s="16">
        <f t="shared" si="1"/>
        <v>117.64705882352941</v>
      </c>
      <c r="L63" s="15">
        <v>17</v>
      </c>
      <c r="M63" s="17">
        <f t="shared" si="36"/>
        <v>1935.483870967739</v>
      </c>
      <c r="N63" s="17">
        <f t="shared" si="3"/>
        <v>113.85199240986699</v>
      </c>
      <c r="O63" s="18">
        <f t="shared" si="4"/>
        <v>0</v>
      </c>
      <c r="P63" s="19">
        <f t="shared" si="5"/>
        <v>-3.7950664136624113</v>
      </c>
      <c r="Q63" s="20">
        <f t="shared" si="6"/>
        <v>0.96774193548386955</v>
      </c>
      <c r="R63" s="170"/>
      <c r="S63" s="27">
        <v>0.78194444444444444</v>
      </c>
      <c r="T63" s="27">
        <v>0.80347222222222225</v>
      </c>
      <c r="U63" s="4">
        <f t="shared" si="38"/>
        <v>6.9999999999999751</v>
      </c>
      <c r="V63" s="21">
        <f t="shared" si="37"/>
        <v>31.00000000000005</v>
      </c>
      <c r="W63" s="22"/>
      <c r="X63" s="22"/>
      <c r="Y63" s="25"/>
      <c r="Z63" s="25"/>
      <c r="AA63" s="176"/>
      <c r="AB63" s="177"/>
      <c r="AC63" s="24"/>
      <c r="AD63" s="24"/>
      <c r="AE63" s="18">
        <f t="shared" si="8"/>
        <v>-64.516129032261006</v>
      </c>
      <c r="AF63" s="20">
        <f t="shared" si="9"/>
        <v>0.96774193548386944</v>
      </c>
      <c r="AG63" s="170"/>
    </row>
    <row r="64" spans="1:33" ht="15.75" customHeight="1">
      <c r="A64" s="178" t="s">
        <v>985</v>
      </c>
      <c r="B64" s="35" t="s">
        <v>78</v>
      </c>
      <c r="C64" s="174" t="s">
        <v>121</v>
      </c>
      <c r="D64" s="175"/>
      <c r="E64" s="35">
        <v>55.32</v>
      </c>
      <c r="F64" s="38">
        <v>1577</v>
      </c>
      <c r="G64" s="4">
        <f t="shared" si="35"/>
        <v>87239.64</v>
      </c>
      <c r="H64" s="21" t="s">
        <v>133</v>
      </c>
      <c r="I64" s="15">
        <v>15</v>
      </c>
      <c r="J64" s="17">
        <v>2000</v>
      </c>
      <c r="K64" s="16">
        <f t="shared" si="1"/>
        <v>133.33333333333334</v>
      </c>
      <c r="L64" s="15">
        <v>15</v>
      </c>
      <c r="M64" s="17">
        <f t="shared" si="36"/>
        <v>1931.0204081632658</v>
      </c>
      <c r="N64" s="17">
        <f t="shared" si="3"/>
        <v>128.73469387755105</v>
      </c>
      <c r="O64" s="18">
        <f t="shared" si="4"/>
        <v>0</v>
      </c>
      <c r="P64" s="19">
        <f t="shared" si="5"/>
        <v>-4.5986394557822905</v>
      </c>
      <c r="Q64" s="20">
        <f t="shared" si="6"/>
        <v>0.96551020408163279</v>
      </c>
      <c r="R64" s="170"/>
      <c r="S64" s="27">
        <v>0.80833333333333335</v>
      </c>
      <c r="T64" s="27">
        <v>0.84236111111111112</v>
      </c>
      <c r="U64" s="4">
        <f t="shared" si="38"/>
        <v>6.9999999999999751</v>
      </c>
      <c r="V64" s="21">
        <f t="shared" si="37"/>
        <v>48.999999999999986</v>
      </c>
      <c r="W64" s="22">
        <f>T64</f>
        <v>0.84236111111111112</v>
      </c>
      <c r="X64" s="22">
        <f>S65</f>
        <v>0.88402777777777775</v>
      </c>
      <c r="Y64" s="25"/>
      <c r="Z64" s="25"/>
      <c r="AA64" s="176"/>
      <c r="AB64" s="177"/>
      <c r="AC64" s="24"/>
      <c r="AD64" s="24"/>
      <c r="AE64" s="18">
        <f t="shared" si="8"/>
        <v>-68.979591836734244</v>
      </c>
      <c r="AF64" s="20">
        <f t="shared" si="9"/>
        <v>0.96551020408163291</v>
      </c>
      <c r="AG64" s="170"/>
    </row>
    <row r="65" spans="1:33">
      <c r="A65" s="178" t="s">
        <v>985</v>
      </c>
      <c r="B65" s="35" t="s">
        <v>78</v>
      </c>
      <c r="C65" s="174" t="s">
        <v>120</v>
      </c>
      <c r="D65" s="175"/>
      <c r="E65" s="35">
        <v>55.56</v>
      </c>
      <c r="F65" s="38">
        <v>1167</v>
      </c>
      <c r="G65" s="4">
        <f t="shared" si="35"/>
        <v>64838.520000000004</v>
      </c>
      <c r="H65" s="21" t="s">
        <v>133</v>
      </c>
      <c r="I65" s="15">
        <v>17</v>
      </c>
      <c r="J65" s="17">
        <v>2000</v>
      </c>
      <c r="K65" s="16">
        <f t="shared" si="1"/>
        <v>117.64705882352941</v>
      </c>
      <c r="L65" s="15">
        <v>17</v>
      </c>
      <c r="M65" s="17">
        <f t="shared" si="36"/>
        <v>1944.9999999999986</v>
      </c>
      <c r="N65" s="17">
        <f t="shared" si="3"/>
        <v>114.41176470588228</v>
      </c>
      <c r="O65" s="18">
        <f t="shared" si="4"/>
        <v>0</v>
      </c>
      <c r="P65" s="19">
        <f t="shared" si="5"/>
        <v>-3.235294117647129</v>
      </c>
      <c r="Q65" s="20">
        <f t="shared" si="6"/>
        <v>0.97249999999999936</v>
      </c>
      <c r="R65" s="170"/>
      <c r="S65" s="27">
        <v>0.88402777777777775</v>
      </c>
      <c r="T65" s="27">
        <v>0.90902777777777777</v>
      </c>
      <c r="U65" s="4">
        <f t="shared" si="38"/>
        <v>59.999999999999943</v>
      </c>
      <c r="V65" s="21">
        <f t="shared" si="37"/>
        <v>36.000000000000028</v>
      </c>
      <c r="W65" s="22"/>
      <c r="X65" s="22"/>
      <c r="Y65" s="25"/>
      <c r="Z65" s="25"/>
      <c r="AA65" s="176"/>
      <c r="AB65" s="177"/>
      <c r="AC65" s="24"/>
      <c r="AD65" s="24"/>
      <c r="AE65" s="18">
        <f t="shared" si="8"/>
        <v>-55.000000000001364</v>
      </c>
      <c r="AF65" s="20">
        <f t="shared" si="9"/>
        <v>0.97249999999999936</v>
      </c>
      <c r="AG65" s="170"/>
    </row>
    <row r="66" spans="1:33">
      <c r="A66" s="179" t="s">
        <v>985</v>
      </c>
      <c r="B66" s="35" t="s">
        <v>983</v>
      </c>
      <c r="C66" s="171"/>
      <c r="D66" s="171"/>
      <c r="E66" s="36"/>
      <c r="F66" s="16"/>
      <c r="G66" s="16"/>
      <c r="H66" s="4"/>
      <c r="I66" s="29">
        <v>18.666666666666668</v>
      </c>
      <c r="J66" s="17">
        <v>1944.4444444444443</v>
      </c>
      <c r="K66" s="16">
        <f t="shared" si="1"/>
        <v>104.16666666666666</v>
      </c>
      <c r="L66" s="29">
        <v>18.666666666666668</v>
      </c>
      <c r="M66" s="17">
        <f>AVERAGE(M57:M65)</f>
        <v>1843.5366534707912</v>
      </c>
      <c r="N66" s="16">
        <f t="shared" si="3"/>
        <v>98.760892150220954</v>
      </c>
      <c r="O66" s="18">
        <f t="shared" si="4"/>
        <v>0</v>
      </c>
      <c r="P66" s="19">
        <f t="shared" si="5"/>
        <v>-5.4057745164457032</v>
      </c>
      <c r="Q66" s="20">
        <f t="shared" si="6"/>
        <v>0.94810456464212123</v>
      </c>
      <c r="R66" s="170"/>
      <c r="S66" s="27"/>
      <c r="T66" s="27"/>
      <c r="U66" s="4"/>
      <c r="V66" s="21"/>
      <c r="W66" s="16"/>
      <c r="X66" s="16"/>
      <c r="Y66" s="30">
        <f>SUM(Y57:Y65)</f>
        <v>0</v>
      </c>
      <c r="Z66" s="30">
        <f>SUM(Z57:Z65)</f>
        <v>0</v>
      </c>
      <c r="AA66" s="166"/>
      <c r="AB66" s="166"/>
      <c r="AC66" s="30">
        <v>9</v>
      </c>
      <c r="AD66" s="30">
        <f>SUM(AD57:AD65)</f>
        <v>0</v>
      </c>
      <c r="AE66" s="18">
        <f>M66-J66</f>
        <v>-100.90779097365316</v>
      </c>
      <c r="AF66" s="20">
        <f t="shared" si="9"/>
        <v>0.94810456464212123</v>
      </c>
      <c r="AG66" s="170"/>
    </row>
    <row r="67" spans="1:33" ht="15.75" customHeight="1">
      <c r="A67" s="172" t="s">
        <v>986</v>
      </c>
      <c r="B67" s="4" t="s">
        <v>84</v>
      </c>
      <c r="C67" s="163" t="s">
        <v>122</v>
      </c>
      <c r="D67" s="163"/>
      <c r="E67" s="35">
        <v>26.97</v>
      </c>
      <c r="F67" s="38">
        <v>3186</v>
      </c>
      <c r="G67" s="4">
        <f t="shared" ref="G67:G70" si="39">E67*F67</f>
        <v>85926.42</v>
      </c>
      <c r="H67" s="21" t="s">
        <v>133</v>
      </c>
      <c r="I67" s="15">
        <v>8</v>
      </c>
      <c r="J67" s="17">
        <v>1500</v>
      </c>
      <c r="K67" s="16">
        <f t="shared" si="1"/>
        <v>187.5</v>
      </c>
      <c r="L67" s="15">
        <v>8</v>
      </c>
      <c r="M67" s="17">
        <f t="shared" ref="M67:M70" si="40">F67/V67*60</f>
        <v>1437.2932330827061</v>
      </c>
      <c r="N67" s="16">
        <f t="shared" si="3"/>
        <v>179.66165413533827</v>
      </c>
      <c r="O67" s="18">
        <f t="shared" si="4"/>
        <v>0</v>
      </c>
      <c r="P67" s="19">
        <f t="shared" si="5"/>
        <v>-7.8383458646617328</v>
      </c>
      <c r="Q67" s="20">
        <f t="shared" si="6"/>
        <v>0.95819548872180405</v>
      </c>
      <c r="R67" s="170">
        <f>Q71</f>
        <v>0.95422225420009332</v>
      </c>
      <c r="S67" s="27">
        <v>0.20833333333333334</v>
      </c>
      <c r="T67" s="27">
        <v>0.30069444444444449</v>
      </c>
      <c r="U67" s="4"/>
      <c r="V67" s="21">
        <f t="shared" ref="V67:V70" si="41">(T67-S67)*24*60</f>
        <v>133.00000000000006</v>
      </c>
      <c r="W67" s="27"/>
      <c r="X67" s="27"/>
      <c r="Y67" s="27"/>
      <c r="Z67" s="27"/>
      <c r="AA67" s="162"/>
      <c r="AB67" s="162"/>
      <c r="AC67" s="24">
        <v>4</v>
      </c>
      <c r="AD67" s="24"/>
      <c r="AE67" s="18">
        <f t="shared" ref="AE67:AE77" si="42">M67-J67</f>
        <v>-62.706766917293862</v>
      </c>
      <c r="AF67" s="20">
        <f t="shared" si="9"/>
        <v>0.95819548872180405</v>
      </c>
      <c r="AG67" s="170">
        <f>AF71</f>
        <v>0.95422225420009332</v>
      </c>
    </row>
    <row r="68" spans="1:33" ht="15.75" customHeight="1">
      <c r="A68" s="172" t="s">
        <v>986</v>
      </c>
      <c r="B68" s="4" t="s">
        <v>108</v>
      </c>
      <c r="C68" s="163" t="s">
        <v>125</v>
      </c>
      <c r="D68" s="163"/>
      <c r="E68" s="35">
        <v>37.85</v>
      </c>
      <c r="F68" s="38">
        <v>1916</v>
      </c>
      <c r="G68" s="4">
        <f t="shared" si="39"/>
        <v>72520.600000000006</v>
      </c>
      <c r="H68" s="21" t="s">
        <v>133</v>
      </c>
      <c r="I68" s="15">
        <v>12</v>
      </c>
      <c r="J68" s="17">
        <v>2000</v>
      </c>
      <c r="K68" s="16">
        <f t="shared" si="1"/>
        <v>166.66666666666666</v>
      </c>
      <c r="L68" s="15">
        <v>12</v>
      </c>
      <c r="M68" s="17">
        <f t="shared" si="40"/>
        <v>1915.9999999999991</v>
      </c>
      <c r="N68" s="16">
        <f t="shared" si="3"/>
        <v>159.6666666666666</v>
      </c>
      <c r="O68" s="18">
        <f t="shared" si="4"/>
        <v>0</v>
      </c>
      <c r="P68" s="19">
        <f t="shared" si="5"/>
        <v>-7.0000000000000568</v>
      </c>
      <c r="Q68" s="20">
        <f t="shared" si="6"/>
        <v>0.95799999999999963</v>
      </c>
      <c r="R68" s="170"/>
      <c r="S68" s="27">
        <v>0.30555555555555558</v>
      </c>
      <c r="T68" s="27">
        <v>0.34722222222222227</v>
      </c>
      <c r="U68" s="4">
        <f t="shared" ref="U68:U70" si="43">(S68-T67)*24*60</f>
        <v>6.9999999999999751</v>
      </c>
      <c r="V68" s="21">
        <f t="shared" si="41"/>
        <v>60.000000000000028</v>
      </c>
      <c r="W68" s="4"/>
      <c r="X68" s="4"/>
      <c r="Y68" s="4"/>
      <c r="Z68" s="4"/>
      <c r="AA68" s="162"/>
      <c r="AB68" s="162"/>
      <c r="AC68" s="24"/>
      <c r="AD68" s="24"/>
      <c r="AE68" s="18">
        <f t="shared" si="42"/>
        <v>-84.000000000000909</v>
      </c>
      <c r="AF68" s="20">
        <f t="shared" si="9"/>
        <v>0.95799999999999952</v>
      </c>
      <c r="AG68" s="170"/>
    </row>
    <row r="69" spans="1:33" ht="15.75" customHeight="1">
      <c r="A69" s="172" t="s">
        <v>986</v>
      </c>
      <c r="B69" s="4" t="s">
        <v>108</v>
      </c>
      <c r="C69" s="163" t="s">
        <v>126</v>
      </c>
      <c r="D69" s="163"/>
      <c r="E69" s="35">
        <v>34.36</v>
      </c>
      <c r="F69" s="38">
        <v>2095</v>
      </c>
      <c r="G69" s="4">
        <f t="shared" si="39"/>
        <v>71984.2</v>
      </c>
      <c r="H69" s="21" t="s">
        <v>133</v>
      </c>
      <c r="I69" s="15">
        <v>10</v>
      </c>
      <c r="J69" s="17">
        <v>3000</v>
      </c>
      <c r="K69" s="16">
        <f t="shared" ref="K69:K77" si="44">J69/I69</f>
        <v>300</v>
      </c>
      <c r="L69" s="15">
        <v>10</v>
      </c>
      <c r="M69" s="17">
        <f t="shared" si="40"/>
        <v>2856.818181818182</v>
      </c>
      <c r="N69" s="16">
        <f t="shared" ref="N69:N77" si="45">M69/L69</f>
        <v>285.68181818181819</v>
      </c>
      <c r="O69" s="18">
        <f t="shared" ref="O69:O77" si="46">L69-I69</f>
        <v>0</v>
      </c>
      <c r="P69" s="19">
        <f t="shared" ref="P69:P77" si="47">N69-K69</f>
        <v>-14.318181818181813</v>
      </c>
      <c r="Q69" s="20">
        <f t="shared" ref="Q69:Q77" si="48">N69/K69</f>
        <v>0.95227272727272727</v>
      </c>
      <c r="R69" s="170"/>
      <c r="S69" s="27">
        <v>0.35138888888888892</v>
      </c>
      <c r="T69" s="27">
        <v>0.38194444444444448</v>
      </c>
      <c r="U69" s="4">
        <f t="shared" si="43"/>
        <v>5.9999999999999787</v>
      </c>
      <c r="V69" s="21">
        <f t="shared" si="41"/>
        <v>44</v>
      </c>
      <c r="W69" s="4"/>
      <c r="X69" s="4"/>
      <c r="Y69" s="4"/>
      <c r="Z69" s="4"/>
      <c r="AA69" s="162"/>
      <c r="AB69" s="162"/>
      <c r="AC69" s="24"/>
      <c r="AD69" s="24"/>
      <c r="AE69" s="18">
        <f t="shared" si="42"/>
        <v>-143.18181818181802</v>
      </c>
      <c r="AF69" s="20">
        <f t="shared" ref="AF69:AF77" si="49">M69/J69</f>
        <v>0.95227272727272738</v>
      </c>
      <c r="AG69" s="170"/>
    </row>
    <row r="70" spans="1:33" ht="15.75" customHeight="1">
      <c r="A70" s="172" t="s">
        <v>703</v>
      </c>
      <c r="B70" s="4" t="s">
        <v>108</v>
      </c>
      <c r="C70" s="163" t="s">
        <v>127</v>
      </c>
      <c r="D70" s="163"/>
      <c r="E70" s="35">
        <v>35.119999999999997</v>
      </c>
      <c r="F70" s="38">
        <v>6281</v>
      </c>
      <c r="G70" s="4">
        <f t="shared" si="39"/>
        <v>220588.71999999997</v>
      </c>
      <c r="H70" s="21" t="s">
        <v>133</v>
      </c>
      <c r="I70" s="15">
        <v>10</v>
      </c>
      <c r="J70" s="17">
        <v>3000</v>
      </c>
      <c r="K70" s="16">
        <f t="shared" si="44"/>
        <v>300</v>
      </c>
      <c r="L70" s="15">
        <v>10</v>
      </c>
      <c r="M70" s="17">
        <f t="shared" si="40"/>
        <v>2855</v>
      </c>
      <c r="N70" s="16">
        <f t="shared" si="45"/>
        <v>285.5</v>
      </c>
      <c r="O70" s="18">
        <f t="shared" si="46"/>
        <v>0</v>
      </c>
      <c r="P70" s="19">
        <f t="shared" si="47"/>
        <v>-14.5</v>
      </c>
      <c r="Q70" s="20">
        <f t="shared" si="48"/>
        <v>0.95166666666666666</v>
      </c>
      <c r="R70" s="170"/>
      <c r="S70" s="27">
        <v>0.38750000000000001</v>
      </c>
      <c r="T70" s="27">
        <v>0.47916666666666669</v>
      </c>
      <c r="U70" s="4">
        <f t="shared" si="43"/>
        <v>7.9999999999999716</v>
      </c>
      <c r="V70" s="21">
        <f t="shared" si="41"/>
        <v>132</v>
      </c>
      <c r="W70" s="4"/>
      <c r="X70" s="4"/>
      <c r="Y70" s="4"/>
      <c r="Z70" s="4"/>
      <c r="AA70" s="162"/>
      <c r="AB70" s="162"/>
      <c r="AC70" s="24"/>
      <c r="AD70" s="24"/>
      <c r="AE70" s="18">
        <f t="shared" si="42"/>
        <v>-145</v>
      </c>
      <c r="AF70" s="20">
        <f t="shared" si="49"/>
        <v>0.95166666666666666</v>
      </c>
      <c r="AG70" s="170"/>
    </row>
    <row r="71" spans="1:33">
      <c r="A71" s="173" t="s">
        <v>703</v>
      </c>
      <c r="B71" s="35" t="s">
        <v>48</v>
      </c>
      <c r="C71" s="171"/>
      <c r="D71" s="171"/>
      <c r="E71" s="36"/>
      <c r="F71" s="16"/>
      <c r="G71" s="16"/>
      <c r="H71" s="4"/>
      <c r="I71" s="29">
        <v>10</v>
      </c>
      <c r="J71" s="17">
        <v>2375</v>
      </c>
      <c r="K71" s="16">
        <f t="shared" si="44"/>
        <v>237.5</v>
      </c>
      <c r="L71" s="29">
        <v>10</v>
      </c>
      <c r="M71" s="17">
        <f>AVERAGE(M67:M70)</f>
        <v>2266.2778537252216</v>
      </c>
      <c r="N71" s="16">
        <f t="shared" si="45"/>
        <v>226.62778537252217</v>
      </c>
      <c r="O71" s="18">
        <f t="shared" si="46"/>
        <v>0</v>
      </c>
      <c r="P71" s="19">
        <f t="shared" si="47"/>
        <v>-10.872214627477831</v>
      </c>
      <c r="Q71" s="20">
        <f t="shared" si="48"/>
        <v>0.95422225420009332</v>
      </c>
      <c r="R71" s="170"/>
      <c r="S71" s="27"/>
      <c r="T71" s="27"/>
      <c r="U71" s="16"/>
      <c r="V71" s="21"/>
      <c r="W71" s="16"/>
      <c r="X71" s="16"/>
      <c r="Y71" s="30">
        <f>SUM(Y67:Y70)</f>
        <v>0</v>
      </c>
      <c r="Z71" s="30">
        <f>SUM(Z67:Z70)</f>
        <v>0</v>
      </c>
      <c r="AA71" s="166"/>
      <c r="AB71" s="166"/>
      <c r="AC71" s="30">
        <v>4</v>
      </c>
      <c r="AD71" s="30">
        <f>SUM(AD67:AD70)</f>
        <v>0</v>
      </c>
      <c r="AE71" s="18">
        <f t="shared" si="42"/>
        <v>-108.72214627477842</v>
      </c>
      <c r="AF71" s="20">
        <f t="shared" si="49"/>
        <v>0.95422225420009332</v>
      </c>
      <c r="AG71" s="170"/>
    </row>
    <row r="72" spans="1:33" ht="15.75" customHeight="1">
      <c r="A72" s="167" t="s">
        <v>75</v>
      </c>
      <c r="B72" s="4" t="s">
        <v>97</v>
      </c>
      <c r="C72" s="163" t="s">
        <v>128</v>
      </c>
      <c r="D72" s="163"/>
      <c r="E72" s="35">
        <v>20.2</v>
      </c>
      <c r="F72" s="4">
        <v>2402</v>
      </c>
      <c r="G72" s="4">
        <f t="shared" ref="G72:G76" si="50">E72*F72</f>
        <v>48520.4</v>
      </c>
      <c r="H72" s="21" t="s">
        <v>133</v>
      </c>
      <c r="I72" s="15">
        <v>15</v>
      </c>
      <c r="J72" s="17">
        <v>2400</v>
      </c>
      <c r="K72" s="16">
        <f t="shared" si="44"/>
        <v>160</v>
      </c>
      <c r="L72" s="15">
        <v>15</v>
      </c>
      <c r="M72" s="17">
        <f t="shared" ref="M72:M76" si="51">F72/V72*60</f>
        <v>2287.6190476190473</v>
      </c>
      <c r="N72" s="16">
        <f t="shared" si="45"/>
        <v>152.50793650793648</v>
      </c>
      <c r="O72" s="18">
        <f t="shared" si="46"/>
        <v>0</v>
      </c>
      <c r="P72" s="19">
        <f t="shared" si="47"/>
        <v>-7.4920634920635223</v>
      </c>
      <c r="Q72" s="20">
        <f t="shared" si="48"/>
        <v>0.95317460317460301</v>
      </c>
      <c r="R72" s="170">
        <f>Q77</f>
        <v>0.95473647357343006</v>
      </c>
      <c r="S72" s="27">
        <v>0.125</v>
      </c>
      <c r="T72" s="27">
        <v>0.16875000000000001</v>
      </c>
      <c r="U72" s="27"/>
      <c r="V72" s="21">
        <f t="shared" ref="V72:V76" si="52">(T72-S72)*24*60</f>
        <v>63.000000000000014</v>
      </c>
      <c r="W72" s="22">
        <f>T72</f>
        <v>0.16875000000000001</v>
      </c>
      <c r="X72" s="22">
        <f>S73</f>
        <v>0.18680555555555556</v>
      </c>
      <c r="Y72" s="22"/>
      <c r="Z72" s="22"/>
      <c r="AA72" s="162"/>
      <c r="AB72" s="162"/>
      <c r="AC72" s="24">
        <v>5</v>
      </c>
      <c r="AD72" s="24"/>
      <c r="AE72" s="18">
        <f t="shared" si="42"/>
        <v>-112.38095238095275</v>
      </c>
      <c r="AF72" s="20">
        <f t="shared" si="49"/>
        <v>0.95317460317460301</v>
      </c>
      <c r="AG72" s="170">
        <f>AF77</f>
        <v>0.95473647357342994</v>
      </c>
    </row>
    <row r="73" spans="1:33" ht="15.75" customHeight="1">
      <c r="A73" s="168" t="s">
        <v>75</v>
      </c>
      <c r="B73" s="4" t="s">
        <v>97</v>
      </c>
      <c r="C73" s="163" t="s">
        <v>129</v>
      </c>
      <c r="D73" s="163"/>
      <c r="E73" s="35">
        <v>24.45</v>
      </c>
      <c r="F73" s="4">
        <v>2822</v>
      </c>
      <c r="G73" s="4">
        <f t="shared" si="50"/>
        <v>68997.899999999994</v>
      </c>
      <c r="H73" s="21" t="s">
        <v>133</v>
      </c>
      <c r="I73" s="15">
        <v>19</v>
      </c>
      <c r="J73" s="17">
        <v>2400</v>
      </c>
      <c r="K73" s="16">
        <f t="shared" si="44"/>
        <v>126.31578947368421</v>
      </c>
      <c r="L73" s="15">
        <v>19</v>
      </c>
      <c r="M73" s="17">
        <f t="shared" si="51"/>
        <v>2288.1081081081079</v>
      </c>
      <c r="N73" s="16">
        <f t="shared" si="45"/>
        <v>120.42674253200568</v>
      </c>
      <c r="O73" s="18">
        <f t="shared" si="46"/>
        <v>0</v>
      </c>
      <c r="P73" s="19">
        <f t="shared" si="47"/>
        <v>-5.8890469416785294</v>
      </c>
      <c r="Q73" s="20">
        <f t="shared" si="48"/>
        <v>0.95337837837837835</v>
      </c>
      <c r="R73" s="170"/>
      <c r="S73" s="27">
        <v>0.18680555555555556</v>
      </c>
      <c r="T73" s="27">
        <v>0.23819444444444446</v>
      </c>
      <c r="U73" s="4">
        <f t="shared" ref="U73:U76" si="53">(S73-T72)*24*60</f>
        <v>25.999999999999986</v>
      </c>
      <c r="V73" s="21">
        <f t="shared" si="52"/>
        <v>74.000000000000014</v>
      </c>
      <c r="W73" s="22"/>
      <c r="X73" s="22"/>
      <c r="Y73" s="22"/>
      <c r="Z73" s="22"/>
      <c r="AA73" s="162"/>
      <c r="AB73" s="162"/>
      <c r="AC73" s="24"/>
      <c r="AD73" s="24"/>
      <c r="AE73" s="18">
        <f t="shared" si="42"/>
        <v>-111.8918918918921</v>
      </c>
      <c r="AF73" s="20">
        <f t="shared" si="49"/>
        <v>0.95337837837837824</v>
      </c>
      <c r="AG73" s="170"/>
    </row>
    <row r="74" spans="1:33" ht="15.75" customHeight="1">
      <c r="A74" s="168" t="s">
        <v>75</v>
      </c>
      <c r="B74" s="4" t="s">
        <v>97</v>
      </c>
      <c r="C74" s="163" t="s">
        <v>130</v>
      </c>
      <c r="D74" s="163"/>
      <c r="E74" s="35">
        <v>24.43</v>
      </c>
      <c r="F74" s="4">
        <v>6961</v>
      </c>
      <c r="G74" s="4">
        <f t="shared" si="50"/>
        <v>170057.23</v>
      </c>
      <c r="H74" s="21" t="s">
        <v>133</v>
      </c>
      <c r="I74" s="15">
        <v>14</v>
      </c>
      <c r="J74" s="17">
        <v>2400</v>
      </c>
      <c r="K74" s="16">
        <f t="shared" si="44"/>
        <v>171.42857142857142</v>
      </c>
      <c r="L74" s="15">
        <v>14</v>
      </c>
      <c r="M74" s="17">
        <f t="shared" si="51"/>
        <v>2294.8351648351645</v>
      </c>
      <c r="N74" s="16">
        <f t="shared" si="45"/>
        <v>163.91679748822602</v>
      </c>
      <c r="O74" s="18">
        <f t="shared" si="46"/>
        <v>0</v>
      </c>
      <c r="P74" s="19">
        <f t="shared" si="47"/>
        <v>-7.5117739403453925</v>
      </c>
      <c r="Q74" s="20">
        <f t="shared" si="48"/>
        <v>0.9561813186813185</v>
      </c>
      <c r="R74" s="170"/>
      <c r="S74" s="27">
        <v>0.24305555555555558</v>
      </c>
      <c r="T74" s="27">
        <v>0.36944444444444446</v>
      </c>
      <c r="U74" s="4">
        <f t="shared" si="53"/>
        <v>7.0000000000000151</v>
      </c>
      <c r="V74" s="21">
        <f t="shared" si="52"/>
        <v>182</v>
      </c>
      <c r="W74" s="22"/>
      <c r="X74" s="22"/>
      <c r="Y74" s="22"/>
      <c r="Z74" s="22"/>
      <c r="AA74" s="162"/>
      <c r="AB74" s="162"/>
      <c r="AC74" s="24"/>
      <c r="AD74" s="24"/>
      <c r="AE74" s="18">
        <f t="shared" si="42"/>
        <v>-105.16483516483549</v>
      </c>
      <c r="AF74" s="20">
        <f t="shared" si="49"/>
        <v>0.9561813186813185</v>
      </c>
      <c r="AG74" s="170"/>
    </row>
    <row r="75" spans="1:33" ht="15.75" customHeight="1">
      <c r="A75" s="168" t="s">
        <v>75</v>
      </c>
      <c r="B75" s="4" t="s">
        <v>97</v>
      </c>
      <c r="C75" s="163" t="s">
        <v>132</v>
      </c>
      <c r="D75" s="163"/>
      <c r="E75" s="35">
        <v>19.02</v>
      </c>
      <c r="F75" s="4">
        <v>5500</v>
      </c>
      <c r="G75" s="4">
        <f t="shared" si="50"/>
        <v>104610</v>
      </c>
      <c r="H75" s="21">
        <v>2</v>
      </c>
      <c r="I75" s="15">
        <v>14</v>
      </c>
      <c r="J75" s="17">
        <v>2400</v>
      </c>
      <c r="K75" s="16">
        <f t="shared" si="44"/>
        <v>171.42857142857142</v>
      </c>
      <c r="L75" s="15">
        <v>14</v>
      </c>
      <c r="M75" s="17">
        <f t="shared" si="51"/>
        <v>2291.666666666667</v>
      </c>
      <c r="N75" s="16">
        <f t="shared" si="45"/>
        <v>163.6904761904762</v>
      </c>
      <c r="O75" s="18">
        <f t="shared" si="46"/>
        <v>0</v>
      </c>
      <c r="P75" s="19">
        <f t="shared" si="47"/>
        <v>-7.7380952380952124</v>
      </c>
      <c r="Q75" s="20">
        <f t="shared" si="48"/>
        <v>0.95486111111111127</v>
      </c>
      <c r="R75" s="170"/>
      <c r="S75" s="27">
        <v>0.37361111111111112</v>
      </c>
      <c r="T75" s="27">
        <v>0.47361111111111109</v>
      </c>
      <c r="U75" s="4">
        <f t="shared" si="53"/>
        <v>5.9999999999999787</v>
      </c>
      <c r="V75" s="21">
        <f t="shared" si="52"/>
        <v>143.99999999999997</v>
      </c>
      <c r="W75" s="22">
        <f>T75</f>
        <v>0.47361111111111109</v>
      </c>
      <c r="X75" s="22">
        <f>S76</f>
        <v>0.51388888888888884</v>
      </c>
      <c r="Y75" s="22"/>
      <c r="Z75" s="22"/>
      <c r="AA75" s="162"/>
      <c r="AB75" s="162"/>
      <c r="AC75" s="24"/>
      <c r="AD75" s="24"/>
      <c r="AE75" s="18">
        <f t="shared" si="42"/>
        <v>-108.33333333333303</v>
      </c>
      <c r="AF75" s="20">
        <f t="shared" si="49"/>
        <v>0.95486111111111127</v>
      </c>
      <c r="AG75" s="170"/>
    </row>
    <row r="76" spans="1:33" ht="15.75" customHeight="1">
      <c r="A76" s="168" t="s">
        <v>75</v>
      </c>
      <c r="B76" s="4" t="s">
        <v>97</v>
      </c>
      <c r="C76" s="163" t="s">
        <v>132</v>
      </c>
      <c r="D76" s="163"/>
      <c r="E76" s="35">
        <v>19.02</v>
      </c>
      <c r="F76" s="4">
        <v>4398</v>
      </c>
      <c r="G76" s="4">
        <f t="shared" si="50"/>
        <v>83649.959999999992</v>
      </c>
      <c r="H76" s="21" t="s">
        <v>133</v>
      </c>
      <c r="I76" s="15">
        <v>14</v>
      </c>
      <c r="J76" s="17">
        <v>2400</v>
      </c>
      <c r="K76" s="16">
        <f t="shared" si="44"/>
        <v>171.42857142857142</v>
      </c>
      <c r="L76" s="15">
        <v>14</v>
      </c>
      <c r="M76" s="17">
        <f t="shared" si="51"/>
        <v>2294.6086956521726</v>
      </c>
      <c r="N76" s="16">
        <f t="shared" si="45"/>
        <v>163.90062111801234</v>
      </c>
      <c r="O76" s="18">
        <f t="shared" si="46"/>
        <v>0</v>
      </c>
      <c r="P76" s="19">
        <f t="shared" si="47"/>
        <v>-7.5279503105590777</v>
      </c>
      <c r="Q76" s="20">
        <f t="shared" si="48"/>
        <v>0.9560869565217387</v>
      </c>
      <c r="R76" s="170"/>
      <c r="S76" s="27">
        <v>0.51388888888888884</v>
      </c>
      <c r="T76" s="27">
        <v>0.59375</v>
      </c>
      <c r="U76" s="4">
        <f t="shared" si="53"/>
        <v>57.999999999999957</v>
      </c>
      <c r="V76" s="21">
        <f t="shared" si="52"/>
        <v>115.00000000000007</v>
      </c>
      <c r="W76" s="22"/>
      <c r="X76" s="22"/>
      <c r="Y76" s="22"/>
      <c r="Z76" s="22"/>
      <c r="AA76" s="162"/>
      <c r="AB76" s="162"/>
      <c r="AC76" s="24"/>
      <c r="AD76" s="24"/>
      <c r="AE76" s="18">
        <f t="shared" si="42"/>
        <v>-105.39130434782737</v>
      </c>
      <c r="AF76" s="20">
        <f t="shared" si="49"/>
        <v>0.95608695652173858</v>
      </c>
      <c r="AG76" s="170"/>
    </row>
    <row r="77" spans="1:33" ht="16.5" customHeight="1">
      <c r="A77" s="169" t="s">
        <v>75</v>
      </c>
      <c r="B77" s="35" t="s">
        <v>48</v>
      </c>
      <c r="C77" s="164"/>
      <c r="D77" s="165"/>
      <c r="E77" s="36"/>
      <c r="F77" s="16"/>
      <c r="G77" s="16"/>
      <c r="H77" s="4"/>
      <c r="I77" s="29">
        <v>15.2</v>
      </c>
      <c r="J77" s="17">
        <v>2400</v>
      </c>
      <c r="K77" s="16">
        <f t="shared" si="44"/>
        <v>157.89473684210526</v>
      </c>
      <c r="L77" s="29">
        <v>15.2</v>
      </c>
      <c r="M77" s="17">
        <f>AVERAGE(M72:M76)</f>
        <v>2291.3675365762319</v>
      </c>
      <c r="N77" s="16">
        <f t="shared" si="45"/>
        <v>150.74786424843631</v>
      </c>
      <c r="O77" s="18">
        <f t="shared" si="46"/>
        <v>0</v>
      </c>
      <c r="P77" s="19">
        <f t="shared" si="47"/>
        <v>-7.1468725936689452</v>
      </c>
      <c r="Q77" s="20">
        <f t="shared" si="48"/>
        <v>0.95473647357343006</v>
      </c>
      <c r="R77" s="170"/>
      <c r="S77" s="27"/>
      <c r="T77" s="27"/>
      <c r="U77" s="16"/>
      <c r="V77" s="21"/>
      <c r="W77" s="16"/>
      <c r="X77" s="16"/>
      <c r="Y77" s="30">
        <f>SUM(Y72:Y76)</f>
        <v>0</v>
      </c>
      <c r="Z77" s="30">
        <f>SUM(Z72:Z76)</f>
        <v>0</v>
      </c>
      <c r="AA77" s="166"/>
      <c r="AB77" s="166"/>
      <c r="AC77" s="30">
        <v>5</v>
      </c>
      <c r="AD77" s="30">
        <f>SUM(AD72:AD76)</f>
        <v>0</v>
      </c>
      <c r="AE77" s="18">
        <f t="shared" si="42"/>
        <v>-108.63246342376806</v>
      </c>
      <c r="AF77" s="20">
        <f t="shared" si="49"/>
        <v>0.95473647357342994</v>
      </c>
      <c r="AG77" s="170"/>
    </row>
    <row r="78" spans="1:33">
      <c r="D78" s="41"/>
      <c r="E78" s="41"/>
    </row>
  </sheetData>
  <mergeCells count="207">
    <mergeCell ref="A72:A77"/>
    <mergeCell ref="C72:D72"/>
    <mergeCell ref="R72:R77"/>
    <mergeCell ref="AA72:AB72"/>
    <mergeCell ref="AG72:AG77"/>
    <mergeCell ref="C73:D73"/>
    <mergeCell ref="AA73:AB73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AG67:AG71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67:A71"/>
    <mergeCell ref="C67:D67"/>
    <mergeCell ref="R67:R71"/>
    <mergeCell ref="AA67:AB67"/>
    <mergeCell ref="AA61:AB61"/>
    <mergeCell ref="C62:D62"/>
    <mergeCell ref="AA62:AB62"/>
    <mergeCell ref="C63:D63"/>
    <mergeCell ref="AA63:AB63"/>
    <mergeCell ref="C64:D64"/>
    <mergeCell ref="AA64:AB64"/>
    <mergeCell ref="A57:A66"/>
    <mergeCell ref="C57:D57"/>
    <mergeCell ref="R57:R66"/>
    <mergeCell ref="AA57:AB57"/>
    <mergeCell ref="AG57:AG66"/>
    <mergeCell ref="C58:D58"/>
    <mergeCell ref="AA58:AB58"/>
    <mergeCell ref="C59:D59"/>
    <mergeCell ref="AA59:AB59"/>
    <mergeCell ref="AA60:AB60"/>
    <mergeCell ref="C54:D54"/>
    <mergeCell ref="AA54:AB54"/>
    <mergeCell ref="C55:D55"/>
    <mergeCell ref="AA55:AB55"/>
    <mergeCell ref="C56:D56"/>
    <mergeCell ref="AA56:AB56"/>
    <mergeCell ref="AG47:AG56"/>
    <mergeCell ref="C65:D65"/>
    <mergeCell ref="AA65:AB65"/>
    <mergeCell ref="C66:D66"/>
    <mergeCell ref="AA66:AB66"/>
    <mergeCell ref="AA50:AB50"/>
    <mergeCell ref="C51:D51"/>
    <mergeCell ref="AA51:AB51"/>
    <mergeCell ref="C52:D52"/>
    <mergeCell ref="AA52:AB52"/>
    <mergeCell ref="C53:D53"/>
    <mergeCell ref="AA53:AB53"/>
    <mergeCell ref="A47:A56"/>
    <mergeCell ref="C47:D47"/>
    <mergeCell ref="R47:R56"/>
    <mergeCell ref="AA47:AB47"/>
    <mergeCell ref="C48:D48"/>
    <mergeCell ref="AA48:AB48"/>
    <mergeCell ref="C49:D49"/>
    <mergeCell ref="AA49:AB49"/>
    <mergeCell ref="C50:D50"/>
    <mergeCell ref="AG38:AG46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38:A46"/>
    <mergeCell ref="C38:D38"/>
    <mergeCell ref="R38:R46"/>
    <mergeCell ref="AA38:AB38"/>
    <mergeCell ref="AA43:AB43"/>
    <mergeCell ref="C44:D44"/>
    <mergeCell ref="AA44:AB44"/>
    <mergeCell ref="C45:D45"/>
    <mergeCell ref="AA45:AB45"/>
    <mergeCell ref="C46:D46"/>
    <mergeCell ref="AA46:AB46"/>
    <mergeCell ref="A28:A37"/>
    <mergeCell ref="C28:D28"/>
    <mergeCell ref="R28:R37"/>
    <mergeCell ref="AA28:AB28"/>
    <mergeCell ref="AA33:AB33"/>
    <mergeCell ref="C34:D34"/>
    <mergeCell ref="AA34:AB34"/>
    <mergeCell ref="C35:D35"/>
    <mergeCell ref="AG28:AG37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5:AB35"/>
    <mergeCell ref="C36:D36"/>
    <mergeCell ref="AA36:AB36"/>
    <mergeCell ref="C37:D37"/>
    <mergeCell ref="AA37:AB37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15:AG20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C20:D20"/>
    <mergeCell ref="AA20:AB2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7">
    <cfRule type="cellIs" dxfId="92" priority="1" operator="greaterThan">
      <formula>0</formula>
    </cfRule>
  </conditionalFormatting>
  <conditionalFormatting sqref="P5:P77">
    <cfRule type="cellIs" dxfId="91" priority="4" operator="lessThan">
      <formula>0</formula>
    </cfRule>
  </conditionalFormatting>
  <conditionalFormatting sqref="Q5:Q77">
    <cfRule type="cellIs" dxfId="90" priority="2" operator="greaterThan">
      <formula>1</formula>
    </cfRule>
    <cfRule type="cellIs" dxfId="89" priority="3" operator="lessThan">
      <formula>0.8</formula>
    </cfRule>
  </conditionalFormatting>
  <conditionalFormatting sqref="R5:R11 AG5:AG11">
    <cfRule type="cellIs" dxfId="88" priority="80" operator="lessThan">
      <formula>0.8</formula>
    </cfRule>
  </conditionalFormatting>
  <conditionalFormatting sqref="AE5:AE77">
    <cfRule type="cellIs" dxfId="87" priority="17" operator="lessThan">
      <formula>0</formula>
    </cfRule>
  </conditionalFormatting>
  <conditionalFormatting sqref="AF5:AF77">
    <cfRule type="cellIs" dxfId="86" priority="15" operator="greaterThan">
      <formula>1</formula>
    </cfRule>
    <cfRule type="cellIs" dxfId="85" priority="16" operator="lessThan">
      <formula>0.8</formula>
    </cfRule>
  </conditionalFormatting>
  <conditionalFormatting sqref="AG15:AG70 R15:R77">
    <cfRule type="cellIs" dxfId="84" priority="5" operator="lessThan">
      <formula>0.8</formula>
    </cfRule>
  </conditionalFormatting>
  <dataValidations count="1">
    <dataValidation type="list" allowBlank="1" showInputMessage="1" showErrorMessage="1" sqref="AB10 AA5:AB9 AA10:AA70 AB12:AB67 AA71:AB77" xr:uid="{00000000-0002-0000-2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Q32"/>
  <sheetViews>
    <sheetView zoomScale="85" zoomScaleNormal="85" workbookViewId="0">
      <selection activeCell="C72" sqref="C72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845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846</v>
      </c>
      <c r="C3" s="151" t="str">
        <f>TEXT('0309 4度C'!A2,"yyyy.mm.ddaaaa")</f>
        <v>2026.03.09星期一</v>
      </c>
      <c r="D3" s="152"/>
      <c r="E3" s="45" t="s">
        <v>847</v>
      </c>
      <c r="F3" s="153">
        <f>'0309 4度C'!D1</f>
        <v>171475</v>
      </c>
      <c r="G3" s="154"/>
      <c r="H3" s="45" t="s">
        <v>848</v>
      </c>
      <c r="I3" s="155">
        <f>'0309 4度C'!F1</f>
        <v>5692741.0899999999</v>
      </c>
      <c r="J3" s="156"/>
      <c r="K3" s="46"/>
      <c r="L3" s="47"/>
      <c r="M3" s="47"/>
      <c r="N3" s="47"/>
    </row>
    <row r="4" spans="2:17" ht="28.5" customHeight="1">
      <c r="B4" s="157" t="s">
        <v>849</v>
      </c>
      <c r="C4" s="143" t="s">
        <v>850</v>
      </c>
      <c r="D4" s="144"/>
      <c r="E4" s="160" t="s">
        <v>851</v>
      </c>
      <c r="F4" s="161"/>
      <c r="G4" s="160" t="s">
        <v>852</v>
      </c>
      <c r="H4" s="161"/>
      <c r="I4" s="160" t="s">
        <v>853</v>
      </c>
      <c r="J4" s="161"/>
      <c r="K4" s="141" t="s">
        <v>854</v>
      </c>
      <c r="L4" s="142"/>
      <c r="M4" s="142" t="s">
        <v>855</v>
      </c>
      <c r="N4" s="142"/>
    </row>
    <row r="5" spans="2:17" ht="28.5" customHeight="1">
      <c r="B5" s="158"/>
      <c r="C5" s="143" t="s">
        <v>856</v>
      </c>
      <c r="D5" s="144"/>
      <c r="E5" s="143" t="s">
        <v>857</v>
      </c>
      <c r="F5" s="144"/>
      <c r="G5" s="145" t="s">
        <v>858</v>
      </c>
      <c r="H5" s="146"/>
      <c r="I5" s="147" t="s">
        <v>859</v>
      </c>
      <c r="J5" s="148"/>
      <c r="K5" s="48" t="s">
        <v>860</v>
      </c>
      <c r="L5" s="49" t="s">
        <v>861</v>
      </c>
      <c r="M5" s="48" t="s">
        <v>862</v>
      </c>
      <c r="N5" s="49" t="s">
        <v>863</v>
      </c>
    </row>
    <row r="6" spans="2:17" ht="28.5" customHeight="1">
      <c r="B6" s="158"/>
      <c r="C6" s="143" t="s">
        <v>153</v>
      </c>
      <c r="D6" s="144"/>
      <c r="E6" s="135">
        <f>AVERAGE(D13:M13)</f>
        <v>150.88701042289841</v>
      </c>
      <c r="F6" s="136">
        <f>AVERAGE(D31:O31,D13:J13)</f>
        <v>154.82604827825591</v>
      </c>
      <c r="G6" s="137">
        <f>AVERAGE(D13:J13)</f>
        <v>154.82604827825591</v>
      </c>
      <c r="H6" s="138"/>
      <c r="I6" s="137">
        <f>AVERAGE(K13:M13)</f>
        <v>141.69592209373096</v>
      </c>
      <c r="J6" s="138"/>
      <c r="K6" s="139">
        <f>'0309 4度C'!Y2</f>
        <v>0</v>
      </c>
      <c r="L6" s="124">
        <f>'0309 4度C'!Z2</f>
        <v>0</v>
      </c>
      <c r="M6" s="140">
        <f>'0309 4度C'!AC2</f>
        <v>59</v>
      </c>
      <c r="N6" s="124">
        <f>'0309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144.19780747069325</v>
      </c>
      <c r="F7" s="128">
        <f>AVERAGE(D32:O32,D14:J14)</f>
        <v>148.00866586606898</v>
      </c>
      <c r="G7" s="129">
        <f>AVERAGE(D14:J14)</f>
        <v>148.00866586606898</v>
      </c>
      <c r="H7" s="130"/>
      <c r="I7" s="129">
        <f>AVERAGE(K14:M14)</f>
        <v>135.30580454814984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0.95517309092233182</v>
      </c>
      <c r="F8" s="132">
        <f>AVERAGE(D15:J15,D33:O33)</f>
        <v>0.95523796712108477</v>
      </c>
      <c r="G8" s="133">
        <f>AVERAGE(D15:J15)</f>
        <v>0.95523796712108477</v>
      </c>
      <c r="H8" s="134"/>
      <c r="I8" s="133">
        <f>AVERAGE(K15:M15)</f>
        <v>0.95502171312524187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864</v>
      </c>
      <c r="N9" s="47"/>
      <c r="O9" s="47"/>
      <c r="P9" s="47"/>
      <c r="Q9" s="47"/>
    </row>
    <row r="10" spans="2:17" ht="30" customHeight="1">
      <c r="B10" s="107" t="s">
        <v>865</v>
      </c>
      <c r="C10" s="108"/>
      <c r="D10" s="109" t="s">
        <v>624</v>
      </c>
      <c r="E10" s="110"/>
      <c r="F10" s="110"/>
      <c r="G10" s="110"/>
      <c r="H10" s="110"/>
      <c r="I10" s="110"/>
      <c r="J10" s="111"/>
      <c r="K10" s="112" t="s">
        <v>625</v>
      </c>
      <c r="L10" s="113"/>
      <c r="M10" s="114"/>
      <c r="P10" s="53"/>
      <c r="Q10" s="53"/>
    </row>
    <row r="11" spans="2:17" ht="17.25" customHeight="1">
      <c r="B11" s="115" t="s">
        <v>866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867</v>
      </c>
      <c r="D13" s="61">
        <f>SUMIFS('0309 4度C'!$K:$K,'0309 4度C'!$A:$A,"新豐6線",'0309 4度C'!$B:$B,"平均")</f>
        <v>112.35955056179775</v>
      </c>
      <c r="E13" s="62">
        <f>SUMIFS('0309 4度C'!$K:$K,'0309 4度C'!$A:$A,"新豐2線",'0309 4度C'!$B:$B,"平均")</f>
        <v>84.905660377358487</v>
      </c>
      <c r="F13" s="63">
        <f>SUMIFS('0309 4度C'!$K:$K,'0309 4度C'!$A:$A,"新豐5線",'0309 4度C'!$B:$B,"平均")</f>
        <v>109.19540229885058</v>
      </c>
      <c r="G13" s="63">
        <f>SUMIFS('0309 4度C'!$K:$K,'0309 4度C'!$A:$A,"新豐7線",'0309 4度C'!$B:$B,"平均")</f>
        <v>122.22222222222221</v>
      </c>
      <c r="H13" s="63">
        <f>SUMIFS('0309 4度C'!$K:$K,'0309 4度C'!$A:$A,"新豐3線",'0309 4度C'!$B:$B,"平均")</f>
        <v>313.43283582089555</v>
      </c>
      <c r="I13" s="63">
        <f>SUMIFS('0309 4度C'!$K:$K,'0309 4度C'!$A:$A,"新豐1線",'0309 4度C'!$B:$B,"平均")</f>
        <v>104.16666666666666</v>
      </c>
      <c r="J13" s="64">
        <f>SUMIFS('0309 4度C'!$K:$K,'0309 4度C'!$A:$A,"新豐10線",'0309 4度C'!$B:$B,"平均")</f>
        <v>237.5</v>
      </c>
      <c r="K13" s="65">
        <f>SUMIFS('0309 4度C'!$K:$K,'0309 4度C'!$A:$A,"新豐8線",'0309 4度C'!$B:$B,"平均")</f>
        <v>135.84905660377356</v>
      </c>
      <c r="L13" s="66">
        <f>SUMIFS('0309 4度C'!$K:$K,'0309 4度C'!$A:$A,"新豐9線",'0309 4度C'!$B:$B,"平均")</f>
        <v>134.4</v>
      </c>
      <c r="M13" s="64">
        <f>SUMIFS('0309 4度C'!$K:$K,'0309 4度C'!$A:$A,"新豐4線",'0309 4度C'!$B:$B,"平均")</f>
        <v>154.83870967741936</v>
      </c>
    </row>
    <row r="14" spans="2:17" ht="39.6" customHeight="1">
      <c r="B14" s="120"/>
      <c r="C14" s="67" t="s">
        <v>802</v>
      </c>
      <c r="D14" s="68">
        <f>SUMIFS('0309 4度C'!$N:$N,'0309 4度C'!$A:$A,"新豐6線",'0309 4度C'!$B:$B,"平均")</f>
        <v>107.29581405595937</v>
      </c>
      <c r="E14" s="69">
        <f>SUMIFS('0309 4度C'!$N:$N,'0309 4度C'!$A:$A,"新豐2線",'0309 4度C'!$B:$B,"平均")</f>
        <v>80.804155570147174</v>
      </c>
      <c r="F14" s="69">
        <f>SUMIFS('0309 4度C'!$N:$N,'0309 4度C'!$A:$A,"新豐5線",'0309 4度C'!$B:$B,"平均")</f>
        <v>104.51596118572753</v>
      </c>
      <c r="G14" s="69">
        <f>SUMIFS('0309 4度C'!$N:$N,'0309 4度C'!$A:$A,"新豐7線",'0309 4度C'!$B:$B,"平均")</f>
        <v>116.89947135677471</v>
      </c>
      <c r="H14" s="69">
        <f>SUMIFS('0309 4度C'!$N:$N,'0309 4度C'!$A:$A,"新豐3線",'0309 4度C'!$B:$B,"平均")</f>
        <v>300.0515927500665</v>
      </c>
      <c r="I14" s="69">
        <f>SUMIFS('0309 4度C'!$N:$N,'0309 4度C'!$A:$A,"新豐1線",'0309 4度C'!$B:$B,"平均")</f>
        <v>99.161001865151661</v>
      </c>
      <c r="J14" s="70">
        <f>SUMIFS('0309 4度C'!$N:$N,'0309 4度C'!$A:$A,"新豐10線",'0309 4度C'!$B:$B,"平均")</f>
        <v>227.3326642786561</v>
      </c>
      <c r="K14" s="71">
        <f>SUMIFS('0309 4度C'!$N:$N,'0309 4度C'!$A:$A,"新豐8線",'0309 4度C'!$B:$B,"平均")</f>
        <v>129.98992028143965</v>
      </c>
      <c r="L14" s="72">
        <f>SUMIFS('0309 4度C'!$N:$N,'0309 4度C'!$A:$A,"新豐9線",'0309 4度C'!$B:$B,"平均")</f>
        <v>128.45704061540906</v>
      </c>
      <c r="M14" s="70">
        <f>SUMIFS('0309 4度C'!$N:$N,'0309 4度C'!$A:$A,"新豐4線",'0309 4度C'!$B:$B,"平均")</f>
        <v>147.4704527476008</v>
      </c>
    </row>
    <row r="15" spans="2:17" ht="40.15" customHeight="1">
      <c r="B15" s="121"/>
      <c r="C15" s="73" t="s">
        <v>731</v>
      </c>
      <c r="D15" s="74">
        <f t="shared" ref="D15:M15" si="0">D14/D13</f>
        <v>0.95493274509803838</v>
      </c>
      <c r="E15" s="75">
        <f t="shared" si="0"/>
        <v>0.95169338782617785</v>
      </c>
      <c r="F15" s="75">
        <f t="shared" si="0"/>
        <v>0.95714617085876785</v>
      </c>
      <c r="G15" s="75">
        <f t="shared" si="0"/>
        <v>0.95645022019179315</v>
      </c>
      <c r="H15" s="75">
        <f t="shared" si="0"/>
        <v>0.95730746258354549</v>
      </c>
      <c r="I15" s="75">
        <f t="shared" si="0"/>
        <v>0.95194561790545607</v>
      </c>
      <c r="J15" s="76">
        <f t="shared" si="0"/>
        <v>0.95719016538381518</v>
      </c>
      <c r="K15" s="74">
        <f t="shared" si="0"/>
        <v>0.95687024651615316</v>
      </c>
      <c r="L15" s="75">
        <f t="shared" si="0"/>
        <v>0.955781552197984</v>
      </c>
      <c r="M15" s="76">
        <f t="shared" si="0"/>
        <v>0.95241334066158845</v>
      </c>
    </row>
    <row r="16" spans="2:17" ht="17.25" customHeight="1">
      <c r="B16" s="122" t="s">
        <v>868</v>
      </c>
      <c r="C16" s="77" t="s">
        <v>869</v>
      </c>
      <c r="D16" s="78">
        <f>VLOOKUP("新豐6線",'0309 4度C'!$A:$T,19,0)</f>
        <v>0.70833333333333337</v>
      </c>
      <c r="E16" s="79">
        <f>VLOOKUP("新豐2線",'0309 4度C'!$A:$T,19,0)</f>
        <v>0.20833333333333334</v>
      </c>
      <c r="F16" s="79">
        <f>VLOOKUP("新豐5線",'0309 4度C'!$A:$T,19,0)</f>
        <v>0.20833333333333334</v>
      </c>
      <c r="G16" s="79">
        <f>VLOOKUP("新豐7線",'0309 4度C'!$A:$T,19,0)</f>
        <v>0.20833333333333334</v>
      </c>
      <c r="H16" s="79">
        <f>VLOOKUP("新豐3線",'0309 4度C'!$A:$T,19,0)</f>
        <v>8.3333333333333329E-2</v>
      </c>
      <c r="I16" s="79">
        <f>VLOOKUP("新豐1線",'0309 4度C'!$A:$T,19,0)</f>
        <v>0.20833333333333334</v>
      </c>
      <c r="J16" s="80">
        <f>VLOOKUP("新豐10線",'0309 4度C'!$A:$T,19,0)</f>
        <v>0.20833333333333334</v>
      </c>
      <c r="K16" s="81">
        <f>VLOOKUP("新豐8線",'0309 4度C'!$A:$T,19,0)</f>
        <v>8.3333333333333329E-2</v>
      </c>
      <c r="L16" s="82">
        <f>VLOOKUP("新豐9線",'0309 4度C'!$A:$T,19,0)</f>
        <v>8.3333333333333329E-2</v>
      </c>
      <c r="M16" s="83">
        <f>VLOOKUP("新豐4線",'0309 4度C'!$A:$T,19,0)</f>
        <v>8.3333333333333329E-2</v>
      </c>
    </row>
    <row r="17" spans="2:13" ht="17.25" customHeight="1">
      <c r="B17" s="123"/>
      <c r="C17" s="77" t="s">
        <v>870</v>
      </c>
      <c r="D17" s="81">
        <f>LOOKUP(2,1/(('0309 4度C'!$A:$A="新豐6線")*('0309 4度C'!$T:$T&lt;&gt;"")),'0309 4度C'!$T:$T)</f>
        <v>0.83124999999999993</v>
      </c>
      <c r="E17" s="79">
        <f>LOOKUP(2,1/(('0309 4度C'!$A:$A="新豐2線")*('0309 4度C'!$T:$T&lt;&gt;"")),'0309 4度C'!$T:$T)</f>
        <v>0.58333333333333326</v>
      </c>
      <c r="F17" s="79">
        <f>LOOKUP(2,1/(('0309 4度C'!$A:$A="新豐5線")*('0309 4度C'!$T:$T&lt;&gt;"")),'0309 4度C'!$T:$T)</f>
        <v>0.91736111111111107</v>
      </c>
      <c r="G17" s="79">
        <f>LOOKUP(2,1/(('0309 4度C'!$A:$A="新豐7線")*('0309 4度C'!$T:$T&lt;&gt;"")),'0309 4度C'!$T:$T)</f>
        <v>0.90416666666666667</v>
      </c>
      <c r="H17" s="79">
        <f>LOOKUP(2,1/(('0309 4度C'!$A:$A="新豐3線")*('0309 4度C'!$T:$T&lt;&gt;"")),'0309 4度C'!$T:$T)</f>
        <v>0.57152777777777775</v>
      </c>
      <c r="I17" s="79">
        <f>LOOKUP(2,1/(('0309 4度C'!$A:$A="新豐1線")*('0309 4度C'!$T:$T&lt;&gt;"")),'0309 4度C'!$T:$T)</f>
        <v>0.90972222222222221</v>
      </c>
      <c r="J17" s="80">
        <f>LOOKUP(2,1/(('0309 4度C'!$A:$A="新豐10線")*('0309 4度C'!$T:$T&lt;&gt;"")),'0309 4度C'!$T:$T)</f>
        <v>0.48472222222222222</v>
      </c>
      <c r="K17" s="78">
        <f>LOOKUP(2,1/(('0309 4度C'!$A:$A="新豐8線")*('0309 4度C'!$T:$T&lt;&gt;"")),'0309 4度C'!$T:$T)</f>
        <v>0.68611111111111089</v>
      </c>
      <c r="L17" s="79">
        <f>LOOKUP(2,1/(('0309 4度C'!$A:$A="新豐9線")*('0309 4度C'!$T:$T&lt;&gt;"")),'0309 4度C'!$T:$T)</f>
        <v>0.65833333333333321</v>
      </c>
      <c r="M17" s="80">
        <f>LOOKUP(2,1/(('0309 4度C'!$A:$A="新豐4線")*('0309 4度C'!$T:$T&lt;&gt;"")),'0309 4度C'!$T:$T)</f>
        <v>0.52500000000000002</v>
      </c>
    </row>
    <row r="18" spans="2:13" ht="17.25" customHeight="1">
      <c r="B18" s="101" t="s">
        <v>871</v>
      </c>
      <c r="C18" s="84" t="s">
        <v>872</v>
      </c>
      <c r="D18" s="85">
        <f>SUMIFS('0309 4度C'!$Y:$Y,'0309 4度C'!$A:$A,"新豐6線",'0309 4度C'!$B:$B,"平均")</f>
        <v>0</v>
      </c>
      <c r="E18" s="86">
        <f>SUMIFS('0309 4度C'!$Y:$Y,'0309 4度C'!$A:$A,"新豐2線",'0309 4度C'!$B:$B,"平均")</f>
        <v>0</v>
      </c>
      <c r="F18" s="86">
        <f>SUMIFS('0309 4度C'!$Y:$Y,'0309 4度C'!$A:$A,"新豐5線",'0309 4度C'!$B:$B,"平均")</f>
        <v>0</v>
      </c>
      <c r="G18" s="86">
        <f>SUMIFS('0309 4度C'!$Y:$Y,'0309 4度C'!$A:$A,"新豐7線",'0309 4度C'!$B:$B,"平均")</f>
        <v>0</v>
      </c>
      <c r="H18" s="86">
        <f>SUMIFS('0309 4度C'!$Y:$Y,'0309 4度C'!$A:$A,"新豐3線",'0309 4度C'!$B:$B,"平均")</f>
        <v>0</v>
      </c>
      <c r="I18" s="86">
        <f>SUMIFS('0309 4度C'!$Y:$Y,'0309 4度C'!$A:$A,"新豐1線",'0309 4度C'!$B:$B,"平均")</f>
        <v>0</v>
      </c>
      <c r="J18" s="87">
        <f>SUMIFS('0309 4度C'!$Y:$Y,'0309 4度C'!$A:$A,"新豐10線",'0309 4度C'!$B:$B,"平均")</f>
        <v>0</v>
      </c>
      <c r="K18" s="88">
        <f>SUMIFS('0309 4度C'!$Y:$Y,'0309 4度C'!$A:$A,"新豐8線",'0309 4度C'!$B:$B,"平均")</f>
        <v>0</v>
      </c>
      <c r="L18" s="86">
        <f>SUMIFS('0309 4度C'!$Y:$Y,'0309 4度C'!$A:$A,"新豐9線",'0309 4度C'!$B:$B,"平均")</f>
        <v>0</v>
      </c>
      <c r="M18" s="87">
        <f>SUMIFS('0309 4度C'!$Y:$Y,'0309 4度C'!$A:$A,"新豐4線",'0309 4度C'!$B:$B,"平均")</f>
        <v>0</v>
      </c>
    </row>
    <row r="19" spans="2:13" ht="17.25" customHeight="1">
      <c r="B19" s="102"/>
      <c r="C19" s="84" t="s">
        <v>689</v>
      </c>
      <c r="D19" s="85">
        <f>SUMIFS('0309 4度C'!$Z:$Z,'0309 4度C'!$A:$A,"新豐6線",'0309 4度C'!$B:$B,"平均")</f>
        <v>0</v>
      </c>
      <c r="E19" s="86">
        <f>SUMIFS('0309 4度C'!$Z:$Z,'0309 4度C'!$A:$A,"新豐2線",'0309 4度C'!$B:$B,"平均")</f>
        <v>0</v>
      </c>
      <c r="F19" s="86">
        <f>SUMIFS('0309 4度C'!$Z:$Z,'0309 4度C'!$A:$A,"新豐5線",'0309 4度C'!$B:$B,"平均")</f>
        <v>0</v>
      </c>
      <c r="G19" s="86">
        <f>SUMIFS('0309 4度C'!$Z:$Z,'0309 4度C'!$A:$A,"新豐7線",'0309 4度C'!$B:$B,"平均")</f>
        <v>0</v>
      </c>
      <c r="H19" s="86">
        <f>SUMIFS('0309 4度C'!$Z:$Z,'0309 4度C'!$A:$A,"新豐3線",'0309 4度C'!$B:$B,"平均")</f>
        <v>0</v>
      </c>
      <c r="I19" s="86">
        <f>SUMIFS('0309 4度C'!$Z:$Z,'0309 4度C'!$A:$A,"新豐1線",'0309 4度C'!$B:$B,"平均")</f>
        <v>0</v>
      </c>
      <c r="J19" s="87">
        <f>SUMIFS('0309 4度C'!$Z:$Z,'0309 4度C'!$A:$A,"新豐10線",'0309 4度C'!$B:$B,"平均")</f>
        <v>0</v>
      </c>
      <c r="K19" s="88">
        <f>SUMIFS('0309 4度C'!$Z:$Z,'0309 4度C'!$A:$A,"新豐8線",'0309 4度C'!$B:$B,"平均")</f>
        <v>0</v>
      </c>
      <c r="L19" s="86">
        <f>SUMIFS('0309 4度C'!$Z:$Z,'0309 4度C'!$A:$A,"新豐9線",'0309 4度C'!$B:$B,"平均")</f>
        <v>0</v>
      </c>
      <c r="M19" s="87">
        <f>SUMIFS('0309 4度C'!$Z:$Z,'0309 4度C'!$A:$A,"新豐4線",'0309 4度C'!$B:$B,"平均")</f>
        <v>0</v>
      </c>
    </row>
    <row r="20" spans="2:13" ht="17.25" customHeight="1">
      <c r="B20" s="101" t="s">
        <v>873</v>
      </c>
      <c r="C20" s="84" t="s">
        <v>872</v>
      </c>
      <c r="D20" s="85">
        <f>SUMIFS('0309 4度C'!$AC:$AC,'0309 4度C'!$A:$A,"新豐6線",'0309 4度C'!$B:$B,"平均")</f>
        <v>5</v>
      </c>
      <c r="E20" s="86">
        <f>SUMIFS('0309 4度C'!$AC:$AC,'0309 4度C'!$A:$A,"新豐2線",'0309 4度C'!$B:$B,"平均")</f>
        <v>3</v>
      </c>
      <c r="F20" s="86">
        <f>SUMIFS('0309 4度C'!$AC:$AC,'0309 4度C'!$A:$A,"新豐5線",'0309 4度C'!$B:$B,"平均")</f>
        <v>5</v>
      </c>
      <c r="G20" s="86">
        <f>SUMIFS('0309 4度C'!$AC:$AC,'0309 4度C'!$A:$A,"新豐7線",'0309 4度C'!$B:$B,"平均")</f>
        <v>6</v>
      </c>
      <c r="H20" s="86">
        <f>SUMIFS('0309 4度C'!$AC:$AC,'0309 4度C'!$A:$A,"新豐3線",'0309 4度C'!$B:$B,"平均")</f>
        <v>7</v>
      </c>
      <c r="I20" s="86">
        <f>SUMIFS('0309 4度C'!$AC:$AC,'0309 4度C'!$A:$A,"新豐1線",'0309 4度C'!$B:$B,"平均")</f>
        <v>9</v>
      </c>
      <c r="J20" s="87">
        <f>SUMIFS('0309 4度C'!$AC:$AC,'0309 4度C'!$A:$A,"新豐10線",'0309 4度C'!$B:$B,"平均")</f>
        <v>4</v>
      </c>
      <c r="K20" s="88">
        <f>SUMIFS('0309 4度C'!$AC:$AC,'0309 4度C'!$A:$A,"新豐8線",'0309 4度C'!$B:$B,"平均")</f>
        <v>9</v>
      </c>
      <c r="L20" s="86">
        <f>SUMIFS('0309 4度C'!$AC:$AC,'0309 4度C'!$A:$A,"新豐9線",'0309 4度C'!$B:$B,"平均")</f>
        <v>7</v>
      </c>
      <c r="M20" s="87">
        <f>SUMIFS('0309 4度C'!$AC:$AC,'0309 4度C'!$A:$A,"新豐4線",'0309 4度C'!$B:$B,"平均")</f>
        <v>4</v>
      </c>
    </row>
    <row r="21" spans="2:13" ht="17.25" customHeight="1">
      <c r="B21" s="102"/>
      <c r="C21" s="84" t="s">
        <v>739</v>
      </c>
      <c r="D21" s="85">
        <f>SUMIFS('0309 4度C'!$AD:$AD,'0309 4度C'!$A:$A,"新豐6線",'0309 4度C'!$B:$B,"平均")</f>
        <v>0</v>
      </c>
      <c r="E21" s="86">
        <f>SUMIFS('0309 4度C'!$AD:$AD,'0309 4度C'!$A:$A,"新豐2線",'0309 4度C'!$B:$B,"平均")</f>
        <v>0</v>
      </c>
      <c r="F21" s="86">
        <f>SUMIFS('0309 4度C'!$AD:$AD,'0309 4度C'!$A:$A,"新豐5線",'0309 4度C'!$B:$B,"平均")</f>
        <v>0</v>
      </c>
      <c r="G21" s="86">
        <f>SUMIFS('0309 4度C'!$AD:$AD,'0309 4度C'!$A:$A,"新豐7線",'0309 4度C'!$B:$B,"平均")</f>
        <v>0</v>
      </c>
      <c r="H21" s="86">
        <f>SUMIFS('0309 4度C'!$AD:$AD,'0309 4度C'!$A:$A,"新豐3線",'0309 4度C'!$B:$B,"平均")</f>
        <v>0</v>
      </c>
      <c r="I21" s="86">
        <f>SUMIFS('0309 4度C'!$AD:$AD,'0309 4度C'!$A:$A,"新豐1線",'0309 4度C'!$B:$B,"平均")</f>
        <v>0</v>
      </c>
      <c r="J21" s="87">
        <f>SUMIFS('0309 4度C'!$AD:$AD,'0309 4度C'!$A:$A,"新豐10線",'0309 4度C'!$B:$B,"平均")</f>
        <v>0</v>
      </c>
      <c r="K21" s="88">
        <f>SUMIFS('0309 4度C'!$AD:$AD,'0309 4度C'!$A:$A,"新豐8線",'0309 4度C'!$B:$B,"平均")</f>
        <v>0</v>
      </c>
      <c r="L21" s="86">
        <f>SUMIFS('0309 4度C'!$AD:$AD,'0309 4度C'!$A:$A,"新豐9線",'0309 4度C'!$B:$B,"平均")</f>
        <v>0</v>
      </c>
      <c r="M21" s="87">
        <f>SUMIFS('0309 4度C'!$AD:$AD,'0309 4度C'!$A:$A,"新豐4線",'0309 4度C'!$B:$B,"平均")</f>
        <v>0</v>
      </c>
    </row>
    <row r="22" spans="2:13" ht="17.25" customHeight="1">
      <c r="B22" s="103" t="s">
        <v>874</v>
      </c>
      <c r="C22" s="104"/>
      <c r="D22" s="89">
        <f>SUMIFS('0309 4度C'!$I:$I,'0309 4度C'!$A:$A,"新豐6線",'0309 4度C'!$B:$B,"平均")</f>
        <v>17.8</v>
      </c>
      <c r="E22" s="90">
        <f>SUMIFS('0309 4度C'!$I:$I,'0309 4度C'!$A:$A,"新豐2線",'0309 4度C'!$B:$B,"平均")</f>
        <v>17.666666666666668</v>
      </c>
      <c r="F22" s="90">
        <f>SUMIFS('0309 4度C'!$I:$I,'0309 4度C'!$A:$A,"新豐5線",'0309 4度C'!$B:$B,"平均")</f>
        <v>17.399999999999999</v>
      </c>
      <c r="G22" s="90">
        <f>SUMIFS('0309 4度C'!$I:$I,'0309 4度C'!$A:$A,"新豐7線",'0309 4度C'!$B:$B,"平均")</f>
        <v>15</v>
      </c>
      <c r="H22" s="90">
        <f>SUMIFS('0309 4度C'!$I:$I,'0309 4度C'!$A:$A,"新豐3線",'0309 4度C'!$B:$B,"平均")</f>
        <v>9.5714285714285712</v>
      </c>
      <c r="I22" s="90">
        <f>SUMIFS('0309 4度C'!$I:$I,'0309 4度C'!$A:$A,"新豐1線",'0309 4度C'!$B:$B,"平均")</f>
        <v>18.666666666666668</v>
      </c>
      <c r="J22" s="91">
        <f>SUMIFS('0309 4度C'!$I:$I,'0309 4度C'!$A:$A,"新豐10線",'0309 4度C'!$B:$B,"平均")</f>
        <v>10</v>
      </c>
      <c r="K22" s="89">
        <f>SUMIFS('0309 4度C'!$I:$I,'0309 4度C'!$A:$A,"新豐8線",'0309 4度C'!$B:$B,"平均")</f>
        <v>17.666666666666668</v>
      </c>
      <c r="L22" s="90">
        <f>SUMIFS('0309 4度C'!$I:$I,'0309 4度C'!$A:$A,"新豐9線",'0309 4度C'!$B:$B,"平均")</f>
        <v>17.857142857142858</v>
      </c>
      <c r="M22" s="91">
        <f>SUMIFS('0309 4度C'!$I:$I,'0309 4度C'!$A:$A,"新豐4線",'0309 4度C'!$B:$B,"平均")</f>
        <v>15.5</v>
      </c>
    </row>
    <row r="23" spans="2:13" ht="17.25" customHeight="1">
      <c r="B23" s="103" t="s">
        <v>875</v>
      </c>
      <c r="C23" s="104"/>
      <c r="D23" s="92" t="s">
        <v>185</v>
      </c>
      <c r="E23" s="93" t="s">
        <v>186</v>
      </c>
      <c r="F23" s="93" t="s">
        <v>876</v>
      </c>
      <c r="G23" s="93" t="s">
        <v>877</v>
      </c>
      <c r="H23" s="93" t="s">
        <v>188</v>
      </c>
      <c r="I23" s="93" t="s">
        <v>185</v>
      </c>
      <c r="J23" s="94" t="s">
        <v>188</v>
      </c>
      <c r="K23" s="92" t="s">
        <v>878</v>
      </c>
      <c r="L23" s="93" t="s">
        <v>878</v>
      </c>
      <c r="M23" s="94" t="s">
        <v>878</v>
      </c>
    </row>
    <row r="24" spans="2:13" ht="17.25" customHeight="1">
      <c r="B24" s="103" t="s">
        <v>879</v>
      </c>
      <c r="C24" s="104"/>
      <c r="D24" s="92"/>
      <c r="E24" s="93"/>
      <c r="F24" s="93" t="s">
        <v>880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881</v>
      </c>
      <c r="C25" s="106"/>
      <c r="D25" s="95"/>
      <c r="E25" s="96" t="s">
        <v>882</v>
      </c>
      <c r="F25" s="99" t="s">
        <v>883</v>
      </c>
      <c r="G25" s="100"/>
      <c r="H25" s="96" t="s">
        <v>884</v>
      </c>
      <c r="I25" s="96" t="s">
        <v>885</v>
      </c>
      <c r="J25" s="97" t="s">
        <v>884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工作表13">
    <pageSetUpPr fitToPage="1"/>
  </sheetPr>
  <dimension ref="A1:AG74"/>
  <sheetViews>
    <sheetView topLeftCell="K1" zoomScale="80" zoomScaleNormal="80" workbookViewId="0">
      <pane ySplit="4" topLeftCell="A50" activePane="bottomLeft" state="frozen"/>
      <selection activeCell="J13" sqref="J13"/>
      <selection pane="bottomLeft" activeCell="C72" sqref="C72:D7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SUM(F5:F73)</f>
        <v>171475</v>
      </c>
      <c r="E1" s="4" t="s">
        <v>886</v>
      </c>
      <c r="F1" s="1">
        <f>SUM(G5:G73)</f>
        <v>5692741.0899999999</v>
      </c>
      <c r="G1" s="1" t="s">
        <v>3</v>
      </c>
      <c r="H1" s="5">
        <f>L10+L14+L53+L63+L20+L68+L37+L45+L27+L73</f>
        <v>157.12857142857143</v>
      </c>
      <c r="I1" s="212" t="s">
        <v>887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7</v>
      </c>
      <c r="T1" s="212"/>
      <c r="U1" s="212"/>
      <c r="V1" s="212"/>
      <c r="W1" s="212"/>
      <c r="X1" s="212"/>
      <c r="Y1" s="6" t="s">
        <v>8</v>
      </c>
      <c r="Z1" s="7" t="s">
        <v>9</v>
      </c>
      <c r="AA1" s="213" t="s">
        <v>888</v>
      </c>
      <c r="AB1" s="213"/>
      <c r="AC1" s="42" t="s">
        <v>889</v>
      </c>
      <c r="AD1" s="7" t="s">
        <v>11</v>
      </c>
      <c r="AE1" s="212" t="s">
        <v>563</v>
      </c>
      <c r="AF1" s="214"/>
      <c r="AG1" s="214"/>
    </row>
    <row r="2" spans="1:33" ht="26.25" customHeight="1">
      <c r="A2" s="33">
        <v>46090</v>
      </c>
      <c r="B2" s="34" t="s">
        <v>258</v>
      </c>
      <c r="C2" s="2" t="s">
        <v>13</v>
      </c>
      <c r="D2" s="9">
        <f>AVERAGE(N10,N14,N53,N63,N20,N68,N27,N37,N45,N73)</f>
        <v>144.19780747069328</v>
      </c>
      <c r="E2" s="10" t="s">
        <v>14</v>
      </c>
      <c r="F2" s="11">
        <f>F1/D1</f>
        <v>33.198665053214754</v>
      </c>
      <c r="G2" s="1" t="s">
        <v>890</v>
      </c>
      <c r="H2" s="12">
        <f>COUNT(H5:H73)</f>
        <v>10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SUM(Y10+Y14+Y20+Y27+Y37+Y45+Y53+Y63+Y68+Y73)</f>
        <v>0</v>
      </c>
      <c r="Z2" s="13">
        <f>SUM(Z10+Z14+Z20+Z27+Z37+Z45+Z53+Z63+Z68+Z73)</f>
        <v>0</v>
      </c>
      <c r="AA2" s="213"/>
      <c r="AB2" s="213"/>
      <c r="AC2" s="13">
        <v>59</v>
      </c>
      <c r="AD2" s="13">
        <f>SUM(AD10+AD14+AD20+AD27+AD37+AD45+AD53+AD63+AD68+AD73)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891</v>
      </c>
      <c r="C3" s="162" t="s">
        <v>18</v>
      </c>
      <c r="D3" s="162"/>
      <c r="E3" s="210" t="s">
        <v>19</v>
      </c>
      <c r="F3" s="162" t="s">
        <v>892</v>
      </c>
      <c r="G3" s="210" t="s">
        <v>893</v>
      </c>
      <c r="H3" s="204" t="s">
        <v>22</v>
      </c>
      <c r="I3" s="202" t="s">
        <v>573</v>
      </c>
      <c r="J3" s="199" t="s">
        <v>894</v>
      </c>
      <c r="K3" s="209" t="s">
        <v>13</v>
      </c>
      <c r="L3" s="202" t="s">
        <v>573</v>
      </c>
      <c r="M3" s="199" t="s">
        <v>24</v>
      </c>
      <c r="N3" s="209" t="s">
        <v>13</v>
      </c>
      <c r="O3" s="202" t="s">
        <v>573</v>
      </c>
      <c r="P3" s="209" t="s">
        <v>895</v>
      </c>
      <c r="Q3" s="200" t="s">
        <v>896</v>
      </c>
      <c r="R3" s="178" t="s">
        <v>26</v>
      </c>
      <c r="S3" s="162" t="s">
        <v>27</v>
      </c>
      <c r="T3" s="162"/>
      <c r="U3" s="204" t="s">
        <v>28</v>
      </c>
      <c r="V3" s="204" t="s">
        <v>897</v>
      </c>
      <c r="W3" s="162" t="s">
        <v>30</v>
      </c>
      <c r="X3" s="162"/>
      <c r="Y3" s="205" t="s">
        <v>31</v>
      </c>
      <c r="Z3" s="166"/>
      <c r="AA3" s="206" t="s">
        <v>898</v>
      </c>
      <c r="AB3" s="207"/>
      <c r="AC3" s="205" t="s">
        <v>899</v>
      </c>
      <c r="AD3" s="166"/>
      <c r="AE3" s="199" t="s">
        <v>24</v>
      </c>
      <c r="AF3" s="200" t="s">
        <v>900</v>
      </c>
      <c r="AG3" s="178" t="s">
        <v>26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39</v>
      </c>
      <c r="X4" s="4" t="s">
        <v>901</v>
      </c>
      <c r="Y4" s="14" t="s">
        <v>902</v>
      </c>
      <c r="Z4" s="14" t="s">
        <v>689</v>
      </c>
      <c r="AA4" s="208"/>
      <c r="AB4" s="207"/>
      <c r="AC4" s="14" t="s">
        <v>903</v>
      </c>
      <c r="AD4" s="14" t="s">
        <v>904</v>
      </c>
      <c r="AE4" s="199"/>
      <c r="AF4" s="200"/>
      <c r="AG4" s="178"/>
    </row>
    <row r="5" spans="1:33">
      <c r="A5" s="201" t="s">
        <v>905</v>
      </c>
      <c r="B5" s="35" t="s">
        <v>78</v>
      </c>
      <c r="C5" s="203" t="s">
        <v>79</v>
      </c>
      <c r="D5" s="203"/>
      <c r="E5" s="35">
        <v>50.67</v>
      </c>
      <c r="F5" s="4">
        <v>1628</v>
      </c>
      <c r="G5" s="4">
        <f t="shared" ref="G5:G9" si="0">E5*F5</f>
        <v>82490.760000000009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1915.2941176470597</v>
      </c>
      <c r="N5" s="16">
        <f t="shared" ref="N5:N68" si="3">M5/L5</f>
        <v>112.66435986159175</v>
      </c>
      <c r="O5" s="18">
        <f t="shared" ref="O5:O68" si="4">L5-I5</f>
        <v>0</v>
      </c>
      <c r="P5" s="19">
        <f t="shared" ref="P5:P68" si="5">N5-K5</f>
        <v>-4.9826989619376576</v>
      </c>
      <c r="Q5" s="20">
        <f t="shared" ref="Q5:Q68" si="6">N5/K5</f>
        <v>0.95764705882352996</v>
      </c>
      <c r="R5" s="170">
        <f>Q10</f>
        <v>0.95493274509803838</v>
      </c>
      <c r="S5" s="27">
        <v>0.70833333333333337</v>
      </c>
      <c r="T5" s="27">
        <v>0.74375000000000002</v>
      </c>
      <c r="U5" s="4"/>
      <c r="V5" s="21">
        <f t="shared" ref="V5:V9" si="7">(T5-S5)*24*60</f>
        <v>50.999999999999979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2" si="8">M5-J5</f>
        <v>-84.705882352940307</v>
      </c>
      <c r="AF5" s="20">
        <f t="shared" ref="AF5:AF68" si="9">M5/J5</f>
        <v>0.95764705882352985</v>
      </c>
      <c r="AG5" s="170">
        <f>AF10</f>
        <v>0.95493274509803838</v>
      </c>
    </row>
    <row r="6" spans="1:33">
      <c r="A6" s="202" t="s">
        <v>906</v>
      </c>
      <c r="B6" s="35" t="s">
        <v>78</v>
      </c>
      <c r="C6" s="203" t="s">
        <v>80</v>
      </c>
      <c r="D6" s="203"/>
      <c r="E6" s="35">
        <v>54.09</v>
      </c>
      <c r="F6" s="4">
        <v>1408</v>
      </c>
      <c r="G6" s="4">
        <f t="shared" si="0"/>
        <v>76158.720000000001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1920</v>
      </c>
      <c r="N6" s="16">
        <f t="shared" si="3"/>
        <v>101.05263157894737</v>
      </c>
      <c r="O6" s="18">
        <f t="shared" si="4"/>
        <v>0</v>
      </c>
      <c r="P6" s="19">
        <f t="shared" si="5"/>
        <v>-4.2105263157894655</v>
      </c>
      <c r="Q6" s="20">
        <f t="shared" si="6"/>
        <v>0.96000000000000008</v>
      </c>
      <c r="R6" s="170"/>
      <c r="S6" s="27">
        <v>0.74861111111111112</v>
      </c>
      <c r="T6" s="27">
        <v>0.77916666666666667</v>
      </c>
      <c r="U6" s="4">
        <f t="shared" ref="U6:U9" si="10">IF(S6=TIME(17,0,0),"",(S6-T5)*24*60)</f>
        <v>6.9999999999999751</v>
      </c>
      <c r="V6" s="21">
        <f t="shared" si="7"/>
        <v>44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-80</v>
      </c>
      <c r="AF6" s="20">
        <f t="shared" si="9"/>
        <v>0.96</v>
      </c>
      <c r="AG6" s="170"/>
    </row>
    <row r="7" spans="1:33">
      <c r="A7" s="202" t="s">
        <v>905</v>
      </c>
      <c r="B7" s="35" t="s">
        <v>78</v>
      </c>
      <c r="C7" s="197" t="s">
        <v>81</v>
      </c>
      <c r="D7" s="198"/>
      <c r="E7" s="35">
        <v>50.29</v>
      </c>
      <c r="F7" s="4">
        <v>574</v>
      </c>
      <c r="G7" s="4">
        <f t="shared" si="0"/>
        <v>28866.46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1913.3333333333401</v>
      </c>
      <c r="N7" s="16">
        <f t="shared" si="3"/>
        <v>119.58333333333375</v>
      </c>
      <c r="O7" s="18">
        <f t="shared" si="4"/>
        <v>0</v>
      </c>
      <c r="P7" s="19">
        <f t="shared" si="5"/>
        <v>-5.4166666666662451</v>
      </c>
      <c r="Q7" s="20">
        <f t="shared" si="6"/>
        <v>0.95666666666667</v>
      </c>
      <c r="R7" s="170"/>
      <c r="S7" s="27">
        <v>0.78333333333333333</v>
      </c>
      <c r="T7" s="27">
        <v>0.79583333333333328</v>
      </c>
      <c r="U7" s="4">
        <f t="shared" si="10"/>
        <v>5.9999999999999787</v>
      </c>
      <c r="V7" s="21">
        <f t="shared" si="7"/>
        <v>17.999999999999936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-86.666666666659921</v>
      </c>
      <c r="AF7" s="20">
        <f t="shared" si="9"/>
        <v>0.95666666666667</v>
      </c>
      <c r="AG7" s="170"/>
    </row>
    <row r="8" spans="1:33">
      <c r="A8" s="202" t="s">
        <v>906</v>
      </c>
      <c r="B8" s="35" t="s">
        <v>78</v>
      </c>
      <c r="C8" s="197" t="s">
        <v>82</v>
      </c>
      <c r="D8" s="198"/>
      <c r="E8" s="35">
        <v>50.67</v>
      </c>
      <c r="F8" s="4">
        <v>506</v>
      </c>
      <c r="G8" s="4">
        <f t="shared" si="0"/>
        <v>25639.02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1897.4999999999879</v>
      </c>
      <c r="N8" s="16">
        <f t="shared" si="3"/>
        <v>90.357142857142279</v>
      </c>
      <c r="O8" s="18">
        <f t="shared" si="4"/>
        <v>0</v>
      </c>
      <c r="P8" s="19">
        <f t="shared" si="5"/>
        <v>-4.8809523809529622</v>
      </c>
      <c r="Q8" s="20">
        <f t="shared" si="6"/>
        <v>0.94874999999999388</v>
      </c>
      <c r="R8" s="170"/>
      <c r="S8" s="27">
        <v>0.79930555555555549</v>
      </c>
      <c r="T8" s="27">
        <v>0.81041666666666667</v>
      </c>
      <c r="U8" s="4">
        <f t="shared" si="10"/>
        <v>4.9999999999999822</v>
      </c>
      <c r="V8" s="21">
        <f t="shared" si="7"/>
        <v>16.000000000000103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-102.50000000001205</v>
      </c>
      <c r="AF8" s="20">
        <f t="shared" si="9"/>
        <v>0.94874999999999399</v>
      </c>
      <c r="AG8" s="170"/>
    </row>
    <row r="9" spans="1:33">
      <c r="A9" s="202" t="s">
        <v>45</v>
      </c>
      <c r="B9" s="35" t="s">
        <v>78</v>
      </c>
      <c r="C9" s="197" t="s">
        <v>83</v>
      </c>
      <c r="D9" s="198"/>
      <c r="E9" s="35">
        <v>50.67</v>
      </c>
      <c r="F9" s="4">
        <v>793</v>
      </c>
      <c r="G9" s="4">
        <f t="shared" si="0"/>
        <v>40181.310000000005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1903.1999999999946</v>
      </c>
      <c r="N9" s="16">
        <f t="shared" si="3"/>
        <v>118.94999999999966</v>
      </c>
      <c r="O9" s="18">
        <f t="shared" si="4"/>
        <v>0</v>
      </c>
      <c r="P9" s="19">
        <f t="shared" si="5"/>
        <v>-6.0500000000003382</v>
      </c>
      <c r="Q9" s="20">
        <f t="shared" si="6"/>
        <v>0.95159999999999734</v>
      </c>
      <c r="R9" s="170"/>
      <c r="S9" s="27">
        <v>0.81388888888888877</v>
      </c>
      <c r="T9" s="27">
        <v>0.83124999999999993</v>
      </c>
      <c r="U9" s="4">
        <f t="shared" si="10"/>
        <v>4.9999999999998224</v>
      </c>
      <c r="V9" s="21">
        <f t="shared" si="7"/>
        <v>25.000000000000071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-96.800000000005411</v>
      </c>
      <c r="AF9" s="20">
        <f t="shared" si="9"/>
        <v>0.95159999999999734</v>
      </c>
      <c r="AG9" s="170"/>
    </row>
    <row r="10" spans="1:33">
      <c r="A10" s="202" t="s">
        <v>905</v>
      </c>
      <c r="B10" s="35" t="s">
        <v>48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1909.8654901960767</v>
      </c>
      <c r="N10" s="16">
        <f t="shared" si="3"/>
        <v>107.29581405595937</v>
      </c>
      <c r="O10" s="18">
        <f t="shared" si="4"/>
        <v>0</v>
      </c>
      <c r="P10" s="19">
        <f t="shared" si="5"/>
        <v>-5.0637365058383779</v>
      </c>
      <c r="Q10" s="20">
        <f t="shared" si="6"/>
        <v>0.95493274509803838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-90.134509803923265</v>
      </c>
      <c r="AF10" s="20">
        <f t="shared" si="9"/>
        <v>0.95493274509803838</v>
      </c>
      <c r="AG10" s="170"/>
    </row>
    <row r="11" spans="1:33" ht="15.75" customHeight="1">
      <c r="A11" s="196" t="s">
        <v>594</v>
      </c>
      <c r="B11" s="35" t="s">
        <v>84</v>
      </c>
      <c r="C11" s="197" t="s">
        <v>85</v>
      </c>
      <c r="D11" s="198"/>
      <c r="E11" s="35">
        <v>39.619999999999997</v>
      </c>
      <c r="F11" s="4">
        <v>4446</v>
      </c>
      <c r="G11" s="4">
        <f t="shared" ref="G11:G13" si="11">E11*F11</f>
        <v>176150.52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3" si="12">F11/V11*60</f>
        <v>1426.5240641711227</v>
      </c>
      <c r="N11" s="16">
        <f t="shared" si="3"/>
        <v>75.080213903743299</v>
      </c>
      <c r="O11" s="18">
        <f t="shared" si="4"/>
        <v>0</v>
      </c>
      <c r="P11" s="19">
        <f t="shared" si="5"/>
        <v>-3.8671545173093307</v>
      </c>
      <c r="Q11" s="20">
        <f t="shared" si="6"/>
        <v>0.95101604278074847</v>
      </c>
      <c r="R11" s="170">
        <f>Q14</f>
        <v>0.95169338782617785</v>
      </c>
      <c r="S11" s="27">
        <v>0.20833333333333334</v>
      </c>
      <c r="T11" s="27">
        <v>0.33819444444444446</v>
      </c>
      <c r="U11" s="4"/>
      <c r="V11" s="21">
        <f t="shared" ref="V11:V13" si="13">(T11-S11)*24*60</f>
        <v>187.00000000000003</v>
      </c>
      <c r="W11" s="22"/>
      <c r="X11" s="22"/>
      <c r="Y11" s="22"/>
      <c r="Z11" s="22"/>
      <c r="AA11" s="162"/>
      <c r="AB11" s="162"/>
      <c r="AC11" s="24">
        <v>3</v>
      </c>
      <c r="AD11" s="24"/>
      <c r="AE11" s="18">
        <f t="shared" si="8"/>
        <v>-73.475935828877255</v>
      </c>
      <c r="AF11" s="20">
        <f t="shared" si="9"/>
        <v>0.95101604278074847</v>
      </c>
      <c r="AG11" s="170">
        <f>AF14</f>
        <v>0.95169338782617785</v>
      </c>
    </row>
    <row r="12" spans="1:33" ht="15.75" customHeight="1">
      <c r="A12" s="196" t="s">
        <v>907</v>
      </c>
      <c r="B12" s="35" t="s">
        <v>84</v>
      </c>
      <c r="C12" s="197" t="s">
        <v>86</v>
      </c>
      <c r="D12" s="198"/>
      <c r="E12" s="35">
        <v>39.799999999999997</v>
      </c>
      <c r="F12" s="4">
        <v>4500</v>
      </c>
      <c r="G12" s="4">
        <f t="shared" si="11"/>
        <v>179100</v>
      </c>
      <c r="H12" s="21">
        <v>2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1428.5714285714289</v>
      </c>
      <c r="N12" s="16">
        <f t="shared" si="3"/>
        <v>84.033613445378165</v>
      </c>
      <c r="O12" s="18">
        <f t="shared" si="4"/>
        <v>0</v>
      </c>
      <c r="P12" s="19">
        <f t="shared" si="5"/>
        <v>-4.2016806722688926</v>
      </c>
      <c r="Q12" s="20">
        <f t="shared" si="6"/>
        <v>0.95238095238095255</v>
      </c>
      <c r="R12" s="170"/>
      <c r="S12" s="27">
        <v>0.34236111111111112</v>
      </c>
      <c r="T12" s="27">
        <v>0.47361111111111109</v>
      </c>
      <c r="U12" s="4">
        <f t="shared" ref="U12:U13" si="14">IF(S12=TIME(17,0,0),"",(S12-T11)*24*60)</f>
        <v>5.9999999999999787</v>
      </c>
      <c r="V12" s="21">
        <f t="shared" si="13"/>
        <v>188.99999999999997</v>
      </c>
      <c r="W12" s="22">
        <f>T12</f>
        <v>0.47361111111111109</v>
      </c>
      <c r="X12" s="22">
        <f>S13</f>
        <v>0.5131944444444444</v>
      </c>
      <c r="Y12" s="22"/>
      <c r="Z12" s="22"/>
      <c r="AA12" s="162"/>
      <c r="AB12" s="162"/>
      <c r="AC12" s="24"/>
      <c r="AD12" s="24"/>
      <c r="AE12" s="18">
        <f t="shared" si="8"/>
        <v>-71.428571428571104</v>
      </c>
      <c r="AF12" s="20">
        <f t="shared" si="9"/>
        <v>0.95238095238095255</v>
      </c>
      <c r="AG12" s="170"/>
    </row>
    <row r="13" spans="1:33" ht="15.75" customHeight="1">
      <c r="A13" s="196" t="s">
        <v>907</v>
      </c>
      <c r="B13" s="35" t="s">
        <v>84</v>
      </c>
      <c r="C13" s="197" t="s">
        <v>86</v>
      </c>
      <c r="D13" s="198"/>
      <c r="E13" s="35">
        <v>39.799999999999997</v>
      </c>
      <c r="F13" s="4">
        <v>2403</v>
      </c>
      <c r="G13" s="4">
        <f t="shared" si="11"/>
        <v>95639.4</v>
      </c>
      <c r="H13" s="21" t="s">
        <v>133</v>
      </c>
      <c r="I13" s="15">
        <v>17</v>
      </c>
      <c r="J13" s="17">
        <v>1500</v>
      </c>
      <c r="K13" s="16">
        <f t="shared" si="1"/>
        <v>88.235294117647058</v>
      </c>
      <c r="L13" s="15">
        <v>17</v>
      </c>
      <c r="M13" s="17">
        <f t="shared" si="12"/>
        <v>1427.5247524752483</v>
      </c>
      <c r="N13" s="16">
        <f t="shared" si="3"/>
        <v>83.972044263249899</v>
      </c>
      <c r="O13" s="18">
        <f t="shared" si="4"/>
        <v>0</v>
      </c>
      <c r="P13" s="19">
        <f t="shared" si="5"/>
        <v>-4.2632498543971593</v>
      </c>
      <c r="Q13" s="20">
        <f t="shared" si="6"/>
        <v>0.9516831683168322</v>
      </c>
      <c r="R13" s="170"/>
      <c r="S13" s="27">
        <v>0.5131944444444444</v>
      </c>
      <c r="T13" s="27">
        <v>0.58333333333333326</v>
      </c>
      <c r="U13" s="4">
        <f t="shared" si="14"/>
        <v>56.999999999999957</v>
      </c>
      <c r="V13" s="21">
        <f t="shared" si="13"/>
        <v>100.99999999999996</v>
      </c>
      <c r="W13" s="22"/>
      <c r="X13" s="22"/>
      <c r="Y13" s="22"/>
      <c r="Z13" s="22"/>
      <c r="AA13" s="162"/>
      <c r="AB13" s="162"/>
      <c r="AC13" s="24"/>
      <c r="AD13" s="24"/>
      <c r="AE13" s="18">
        <f t="shared" si="8"/>
        <v>-72.475247524751694</v>
      </c>
      <c r="AF13" s="20">
        <f t="shared" si="9"/>
        <v>0.9516831683168322</v>
      </c>
      <c r="AG13" s="170"/>
    </row>
    <row r="14" spans="1:33" ht="16.5" customHeight="1">
      <c r="A14" s="196" t="s">
        <v>907</v>
      </c>
      <c r="B14" s="35" t="s">
        <v>908</v>
      </c>
      <c r="C14" s="171"/>
      <c r="D14" s="171"/>
      <c r="E14" s="36"/>
      <c r="F14" s="17"/>
      <c r="G14" s="17"/>
      <c r="H14" s="4"/>
      <c r="I14" s="29">
        <v>17.666666666666668</v>
      </c>
      <c r="J14" s="17">
        <v>1500</v>
      </c>
      <c r="K14" s="16">
        <f t="shared" si="1"/>
        <v>84.905660377358487</v>
      </c>
      <c r="L14" s="29">
        <v>17.666666666666668</v>
      </c>
      <c r="M14" s="17">
        <f>AVERAGE(M11:M13)</f>
        <v>1427.5400817392667</v>
      </c>
      <c r="N14" s="16">
        <f t="shared" si="3"/>
        <v>80.804155570147174</v>
      </c>
      <c r="O14" s="18">
        <f t="shared" si="4"/>
        <v>0</v>
      </c>
      <c r="P14" s="19">
        <f t="shared" si="5"/>
        <v>-4.1015048072113132</v>
      </c>
      <c r="Q14" s="20">
        <f t="shared" si="6"/>
        <v>0.95169338782617785</v>
      </c>
      <c r="R14" s="170"/>
      <c r="S14" s="27"/>
      <c r="T14" s="27"/>
      <c r="U14" s="16"/>
      <c r="V14" s="21"/>
      <c r="W14" s="16"/>
      <c r="X14" s="16"/>
      <c r="Y14" s="30">
        <f>SUM(Y11:Y13)</f>
        <v>0</v>
      </c>
      <c r="Z14" s="30">
        <f>SUM(Z11:Z13)</f>
        <v>0</v>
      </c>
      <c r="AA14" s="166"/>
      <c r="AB14" s="166"/>
      <c r="AC14" s="30">
        <v>3</v>
      </c>
      <c r="AD14" s="30">
        <f>SUM(AD11:AD13)</f>
        <v>0</v>
      </c>
      <c r="AE14" s="18">
        <f t="shared" si="8"/>
        <v>-72.459918260733275</v>
      </c>
      <c r="AF14" s="20">
        <f t="shared" si="9"/>
        <v>0.95169338782617785</v>
      </c>
      <c r="AG14" s="170"/>
    </row>
    <row r="15" spans="1:33" ht="16.5" customHeight="1">
      <c r="A15" s="194" t="s">
        <v>909</v>
      </c>
      <c r="B15" s="4" t="s">
        <v>87</v>
      </c>
      <c r="C15" s="190" t="s">
        <v>88</v>
      </c>
      <c r="D15" s="190"/>
      <c r="E15" s="35">
        <v>41</v>
      </c>
      <c r="F15" s="4">
        <v>3172</v>
      </c>
      <c r="G15" s="4">
        <f t="shared" ref="G15:G19" si="15">E15*F15</f>
        <v>130052</v>
      </c>
      <c r="H15" s="21" t="s">
        <v>133</v>
      </c>
      <c r="I15" s="15">
        <v>26</v>
      </c>
      <c r="J15" s="17">
        <v>1500</v>
      </c>
      <c r="K15" s="16">
        <f t="shared" si="1"/>
        <v>57.692307692307693</v>
      </c>
      <c r="L15" s="15">
        <v>26</v>
      </c>
      <c r="M15" s="17">
        <f t="shared" ref="M15:M19" si="16">F15/V15*60</f>
        <v>1430.977443609022</v>
      </c>
      <c r="N15" s="16">
        <f t="shared" si="3"/>
        <v>55.037593984962385</v>
      </c>
      <c r="O15" s="18">
        <f t="shared" si="4"/>
        <v>0</v>
      </c>
      <c r="P15" s="19">
        <f t="shared" si="5"/>
        <v>-2.6547137073453086</v>
      </c>
      <c r="Q15" s="20">
        <f t="shared" si="6"/>
        <v>0.9539849624060146</v>
      </c>
      <c r="R15" s="170">
        <f>Q20</f>
        <v>0.95714617085876785</v>
      </c>
      <c r="S15" s="27">
        <v>0.20833333333333334</v>
      </c>
      <c r="T15" s="27">
        <v>0.30069444444444449</v>
      </c>
      <c r="U15" s="4"/>
      <c r="V15" s="21">
        <f t="shared" ref="V15:V19" si="17">(T15-S15)*24*60</f>
        <v>133.00000000000006</v>
      </c>
      <c r="W15" s="27"/>
      <c r="X15" s="27"/>
      <c r="Y15" s="27"/>
      <c r="Z15" s="27"/>
      <c r="AA15" s="162"/>
      <c r="AB15" s="162"/>
      <c r="AC15" s="24">
        <v>5</v>
      </c>
      <c r="AD15" s="24"/>
      <c r="AE15" s="18">
        <f t="shared" si="8"/>
        <v>-69.022556390978025</v>
      </c>
      <c r="AF15" s="20">
        <f t="shared" si="9"/>
        <v>0.9539849624060146</v>
      </c>
      <c r="AG15" s="170">
        <f>AF20</f>
        <v>0.95714617085876785</v>
      </c>
    </row>
    <row r="16" spans="1:33" ht="16.5" customHeight="1">
      <c r="A16" s="195" t="s">
        <v>909</v>
      </c>
      <c r="B16" s="4" t="s">
        <v>78</v>
      </c>
      <c r="C16" s="190" t="s">
        <v>89</v>
      </c>
      <c r="D16" s="190"/>
      <c r="E16" s="35">
        <v>50.98</v>
      </c>
      <c r="F16" s="4">
        <v>2739</v>
      </c>
      <c r="G16" s="4">
        <f t="shared" si="15"/>
        <v>139634.22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1910.9302325581393</v>
      </c>
      <c r="N16" s="16">
        <f t="shared" si="3"/>
        <v>119.43313953488371</v>
      </c>
      <c r="O16" s="18">
        <f t="shared" si="4"/>
        <v>0</v>
      </c>
      <c r="P16" s="19">
        <f t="shared" si="5"/>
        <v>-5.5668604651162923</v>
      </c>
      <c r="Q16" s="20">
        <f t="shared" si="6"/>
        <v>0.95546511627906971</v>
      </c>
      <c r="R16" s="170"/>
      <c r="S16" s="27">
        <v>0.70833333333333337</v>
      </c>
      <c r="T16" s="27">
        <v>0.7680555555555556</v>
      </c>
      <c r="U16" s="4" t="str">
        <f t="shared" ref="U16:U19" si="18">IF(S16=TIME(17,0,0),"",(S16-T15)*24*60)</f>
        <v/>
      </c>
      <c r="V16" s="21">
        <f t="shared" si="17"/>
        <v>86.000000000000014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-89.069767441860677</v>
      </c>
      <c r="AF16" s="20">
        <f t="shared" si="9"/>
        <v>0.95546511627906971</v>
      </c>
      <c r="AG16" s="170"/>
    </row>
    <row r="17" spans="1:33" ht="16.5" customHeight="1">
      <c r="A17" s="195" t="s">
        <v>909</v>
      </c>
      <c r="B17" s="4" t="s">
        <v>78</v>
      </c>
      <c r="C17" s="190" t="s">
        <v>90</v>
      </c>
      <c r="D17" s="190"/>
      <c r="E17" s="35">
        <v>50.92</v>
      </c>
      <c r="F17" s="4">
        <v>1000</v>
      </c>
      <c r="G17" s="4">
        <f t="shared" si="15"/>
        <v>50920</v>
      </c>
      <c r="H17" s="21">
        <v>2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1935.483870967739</v>
      </c>
      <c r="N17" s="16">
        <f t="shared" si="3"/>
        <v>129.03225806451593</v>
      </c>
      <c r="O17" s="18">
        <f t="shared" si="4"/>
        <v>0</v>
      </c>
      <c r="P17" s="19">
        <f t="shared" si="5"/>
        <v>-4.3010752688174136</v>
      </c>
      <c r="Q17" s="20">
        <f t="shared" si="6"/>
        <v>0.96774193548386944</v>
      </c>
      <c r="R17" s="170"/>
      <c r="S17" s="27">
        <v>0.7729166666666667</v>
      </c>
      <c r="T17" s="27">
        <v>0.79444444444444451</v>
      </c>
      <c r="U17" s="4">
        <f t="shared" si="18"/>
        <v>6.9999999999999751</v>
      </c>
      <c r="V17" s="21">
        <f t="shared" si="17"/>
        <v>31.00000000000005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-64.516129032261006</v>
      </c>
      <c r="AF17" s="20">
        <f t="shared" si="9"/>
        <v>0.96774193548386944</v>
      </c>
      <c r="AG17" s="170"/>
    </row>
    <row r="18" spans="1:33" ht="16.5" customHeight="1">
      <c r="A18" s="195" t="s">
        <v>909</v>
      </c>
      <c r="B18" s="4" t="s">
        <v>78</v>
      </c>
      <c r="C18" s="190" t="s">
        <v>91</v>
      </c>
      <c r="D18" s="190"/>
      <c r="E18" s="35">
        <v>50.67</v>
      </c>
      <c r="F18" s="4">
        <v>1806</v>
      </c>
      <c r="G18" s="4">
        <f t="shared" si="15"/>
        <v>91510.02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1901.0526315789486</v>
      </c>
      <c r="N18" s="16">
        <f t="shared" si="3"/>
        <v>126.73684210526325</v>
      </c>
      <c r="O18" s="18">
        <f t="shared" si="4"/>
        <v>0</v>
      </c>
      <c r="P18" s="19">
        <f t="shared" si="5"/>
        <v>-6.5964912280700929</v>
      </c>
      <c r="Q18" s="20">
        <f t="shared" si="6"/>
        <v>0.95052631578947433</v>
      </c>
      <c r="R18" s="170"/>
      <c r="S18" s="27">
        <v>0.7993055555555556</v>
      </c>
      <c r="T18" s="27">
        <v>0.83888888888888891</v>
      </c>
      <c r="U18" s="4">
        <f t="shared" si="18"/>
        <v>6.9999999999999751</v>
      </c>
      <c r="V18" s="21">
        <f t="shared" si="17"/>
        <v>56.999999999999957</v>
      </c>
      <c r="W18" s="22">
        <f>T18</f>
        <v>0.83888888888888891</v>
      </c>
      <c r="X18" s="22">
        <f>S19</f>
        <v>0.87986111111111109</v>
      </c>
      <c r="Y18" s="22"/>
      <c r="Z18" s="22"/>
      <c r="AA18" s="162"/>
      <c r="AB18" s="162"/>
      <c r="AC18" s="24"/>
      <c r="AD18" s="24"/>
      <c r="AE18" s="18">
        <f t="shared" si="8"/>
        <v>-98.947368421051351</v>
      </c>
      <c r="AF18" s="20">
        <f t="shared" si="9"/>
        <v>0.95052631578947433</v>
      </c>
      <c r="AG18" s="170"/>
    </row>
    <row r="19" spans="1:33" ht="16.5" customHeight="1">
      <c r="A19" s="195" t="s">
        <v>909</v>
      </c>
      <c r="B19" s="4" t="s">
        <v>78</v>
      </c>
      <c r="C19" s="190" t="s">
        <v>90</v>
      </c>
      <c r="D19" s="190"/>
      <c r="E19" s="35">
        <v>50.92</v>
      </c>
      <c r="F19" s="4">
        <v>1723</v>
      </c>
      <c r="G19" s="4">
        <f t="shared" si="15"/>
        <v>87735.16</v>
      </c>
      <c r="H19" s="21" t="s">
        <v>133</v>
      </c>
      <c r="I19" s="15">
        <v>15</v>
      </c>
      <c r="J19" s="17">
        <v>2000</v>
      </c>
      <c r="K19" s="16">
        <f t="shared" si="1"/>
        <v>133.33333333333334</v>
      </c>
      <c r="L19" s="15">
        <v>15</v>
      </c>
      <c r="M19" s="17">
        <f t="shared" si="16"/>
        <v>1914.4444444444453</v>
      </c>
      <c r="N19" s="16">
        <f t="shared" si="3"/>
        <v>127.62962962962969</v>
      </c>
      <c r="O19" s="18">
        <f t="shared" si="4"/>
        <v>0</v>
      </c>
      <c r="P19" s="19">
        <f t="shared" si="5"/>
        <v>-5.7037037037036526</v>
      </c>
      <c r="Q19" s="20">
        <f t="shared" si="6"/>
        <v>0.95722222222222264</v>
      </c>
      <c r="R19" s="170"/>
      <c r="S19" s="27">
        <v>0.87986111111111109</v>
      </c>
      <c r="T19" s="27">
        <v>0.91736111111111107</v>
      </c>
      <c r="U19" s="4">
        <f t="shared" si="18"/>
        <v>58.99999999999995</v>
      </c>
      <c r="V19" s="21">
        <f t="shared" si="17"/>
        <v>53.999999999999972</v>
      </c>
      <c r="W19" s="22"/>
      <c r="X19" s="22"/>
      <c r="Y19" s="22"/>
      <c r="Z19" s="22"/>
      <c r="AA19" s="162"/>
      <c r="AB19" s="162"/>
      <c r="AC19" s="24"/>
      <c r="AD19" s="24"/>
      <c r="AE19" s="18">
        <f t="shared" si="8"/>
        <v>-85.555555555554747</v>
      </c>
      <c r="AF19" s="20">
        <f t="shared" si="9"/>
        <v>0.95722222222222264</v>
      </c>
      <c r="AG19" s="170"/>
    </row>
    <row r="20" spans="1:33" ht="16.5" customHeight="1">
      <c r="A20" s="195" t="s">
        <v>909</v>
      </c>
      <c r="B20" s="35" t="s">
        <v>908</v>
      </c>
      <c r="C20" s="171"/>
      <c r="D20" s="171"/>
      <c r="E20" s="36"/>
      <c r="F20" s="16"/>
      <c r="G20" s="16"/>
      <c r="H20" s="4"/>
      <c r="I20" s="29">
        <v>17.399999999999999</v>
      </c>
      <c r="J20" s="17">
        <v>1900</v>
      </c>
      <c r="K20" s="16">
        <f t="shared" si="1"/>
        <v>109.19540229885058</v>
      </c>
      <c r="L20" s="29">
        <v>17.399999999999999</v>
      </c>
      <c r="M20" s="17">
        <f>AVERAGE(M15:M19)</f>
        <v>1818.5777246316588</v>
      </c>
      <c r="N20" s="16">
        <f t="shared" si="3"/>
        <v>104.51596118572753</v>
      </c>
      <c r="O20" s="18">
        <f t="shared" si="4"/>
        <v>0</v>
      </c>
      <c r="P20" s="19">
        <f t="shared" si="5"/>
        <v>-4.6794411131230476</v>
      </c>
      <c r="Q20" s="20">
        <f t="shared" si="6"/>
        <v>0.95714617085876785</v>
      </c>
      <c r="R20" s="170"/>
      <c r="S20" s="27"/>
      <c r="T20" s="27"/>
      <c r="U20" s="4"/>
      <c r="V20" s="21"/>
      <c r="W20" s="16"/>
      <c r="X20" s="16"/>
      <c r="Y20" s="30">
        <f>SUM(Y15:Y19)</f>
        <v>0</v>
      </c>
      <c r="Z20" s="30">
        <f>SUM(Z15:Z19)</f>
        <v>0</v>
      </c>
      <c r="AA20" s="166"/>
      <c r="AB20" s="166"/>
      <c r="AC20" s="30">
        <v>5</v>
      </c>
      <c r="AD20" s="30">
        <f>SUM(AD15:AD19)</f>
        <v>0</v>
      </c>
      <c r="AE20" s="18">
        <f t="shared" si="8"/>
        <v>-81.422275368341161</v>
      </c>
      <c r="AF20" s="20">
        <f t="shared" si="9"/>
        <v>0.95714617085876785</v>
      </c>
      <c r="AG20" s="170"/>
    </row>
    <row r="21" spans="1:33" ht="15.75" customHeight="1">
      <c r="A21" s="192" t="s">
        <v>910</v>
      </c>
      <c r="B21" s="35" t="s">
        <v>78</v>
      </c>
      <c r="C21" s="190" t="s">
        <v>92</v>
      </c>
      <c r="D21" s="190"/>
      <c r="E21" s="35">
        <v>57.73</v>
      </c>
      <c r="F21" s="4">
        <v>2826</v>
      </c>
      <c r="G21" s="4">
        <f t="shared" ref="G21:G26" si="19">E21*F21</f>
        <v>163144.97999999998</v>
      </c>
      <c r="H21" s="21" t="s">
        <v>133</v>
      </c>
      <c r="I21" s="15">
        <v>14</v>
      </c>
      <c r="J21" s="17">
        <v>2000</v>
      </c>
      <c r="K21" s="16">
        <f t="shared" si="1"/>
        <v>142.85714285714286</v>
      </c>
      <c r="L21" s="15">
        <v>14</v>
      </c>
      <c r="M21" s="17">
        <f t="shared" ref="M21:M26" si="20">F21/V21*60</f>
        <v>1905.1685393258417</v>
      </c>
      <c r="N21" s="16">
        <f t="shared" si="3"/>
        <v>136.08346709470297</v>
      </c>
      <c r="O21" s="18">
        <f t="shared" si="4"/>
        <v>0</v>
      </c>
      <c r="P21" s="19">
        <f t="shared" si="5"/>
        <v>-6.7736757624398933</v>
      </c>
      <c r="Q21" s="20">
        <f t="shared" si="6"/>
        <v>0.95258426966292076</v>
      </c>
      <c r="R21" s="170">
        <f>Q27</f>
        <v>0.95645022019179315</v>
      </c>
      <c r="S21" s="27">
        <v>0.20833333333333334</v>
      </c>
      <c r="T21" s="27">
        <v>0.27013888888888893</v>
      </c>
      <c r="U21" s="4"/>
      <c r="V21" s="21">
        <f t="shared" ref="V21:V26" si="21">(T21-S21)*24*60</f>
        <v>89.000000000000043</v>
      </c>
      <c r="W21" s="27"/>
      <c r="X21" s="27"/>
      <c r="Y21" s="27"/>
      <c r="Z21" s="27"/>
      <c r="AA21" s="162"/>
      <c r="AB21" s="162"/>
      <c r="AC21" s="24">
        <v>6</v>
      </c>
      <c r="AD21" s="24"/>
      <c r="AE21" s="18">
        <f t="shared" si="8"/>
        <v>-94.831460674158279</v>
      </c>
      <c r="AF21" s="20">
        <f t="shared" si="9"/>
        <v>0.95258426966292087</v>
      </c>
      <c r="AG21" s="170">
        <f>AF27</f>
        <v>0.95645022019179315</v>
      </c>
    </row>
    <row r="22" spans="1:33" ht="15.75" customHeight="1">
      <c r="A22" s="193" t="s">
        <v>910</v>
      </c>
      <c r="B22" s="35" t="s">
        <v>78</v>
      </c>
      <c r="C22" s="190" t="s">
        <v>93</v>
      </c>
      <c r="D22" s="190"/>
      <c r="E22" s="35">
        <v>53.68</v>
      </c>
      <c r="F22" s="4">
        <v>1653</v>
      </c>
      <c r="G22" s="4">
        <f t="shared" si="19"/>
        <v>88733.04</v>
      </c>
      <c r="H22" s="21" t="s">
        <v>133</v>
      </c>
      <c r="I22" s="15">
        <v>16</v>
      </c>
      <c r="J22" s="17">
        <v>2000</v>
      </c>
      <c r="K22" s="16">
        <f t="shared" si="1"/>
        <v>125</v>
      </c>
      <c r="L22" s="15">
        <v>16</v>
      </c>
      <c r="M22" s="17">
        <f t="shared" si="20"/>
        <v>1907.3076923076933</v>
      </c>
      <c r="N22" s="16">
        <f t="shared" si="3"/>
        <v>119.20673076923083</v>
      </c>
      <c r="O22" s="18">
        <f t="shared" si="4"/>
        <v>0</v>
      </c>
      <c r="P22" s="19">
        <f t="shared" si="5"/>
        <v>-5.7932692307691696</v>
      </c>
      <c r="Q22" s="20">
        <f t="shared" si="6"/>
        <v>0.95365384615384663</v>
      </c>
      <c r="R22" s="170"/>
      <c r="S22" s="27">
        <v>0.27569444444444446</v>
      </c>
      <c r="T22" s="27">
        <v>0.31180555555555556</v>
      </c>
      <c r="U22" s="4">
        <f t="shared" ref="U22:U26" si="22">IF(S22=TIME(17,0,0),"",(S22-T21)*24*60)</f>
        <v>7.9999999999999716</v>
      </c>
      <c r="V22" s="21">
        <f t="shared" si="21"/>
        <v>51.999999999999972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-92.692307692306713</v>
      </c>
      <c r="AF22" s="20">
        <f t="shared" si="9"/>
        <v>0.95365384615384663</v>
      </c>
      <c r="AG22" s="170"/>
    </row>
    <row r="23" spans="1:33" ht="15.75" customHeight="1">
      <c r="A23" s="193" t="s">
        <v>910</v>
      </c>
      <c r="B23" s="35" t="s">
        <v>78</v>
      </c>
      <c r="C23" s="190" t="s">
        <v>94</v>
      </c>
      <c r="D23" s="190"/>
      <c r="E23" s="35">
        <v>50.49</v>
      </c>
      <c r="F23" s="4">
        <v>2239</v>
      </c>
      <c r="G23" s="4">
        <f t="shared" si="19"/>
        <v>113047.11</v>
      </c>
      <c r="H23" s="21" t="s">
        <v>133</v>
      </c>
      <c r="I23" s="15">
        <v>15</v>
      </c>
      <c r="J23" s="17">
        <v>2000</v>
      </c>
      <c r="K23" s="16">
        <f t="shared" si="1"/>
        <v>133.33333333333334</v>
      </c>
      <c r="L23" s="15">
        <v>15</v>
      </c>
      <c r="M23" s="17">
        <f t="shared" si="20"/>
        <v>1919.1428571428551</v>
      </c>
      <c r="N23" s="16">
        <f t="shared" si="3"/>
        <v>127.94285714285701</v>
      </c>
      <c r="O23" s="18">
        <f t="shared" si="4"/>
        <v>0</v>
      </c>
      <c r="P23" s="19">
        <f t="shared" si="5"/>
        <v>-5.3904761904763348</v>
      </c>
      <c r="Q23" s="20">
        <f t="shared" si="6"/>
        <v>0.95957142857142752</v>
      </c>
      <c r="R23" s="170"/>
      <c r="S23" s="27">
        <v>0.70833333333333337</v>
      </c>
      <c r="T23" s="27">
        <v>0.75694444444444453</v>
      </c>
      <c r="U23" s="4" t="str">
        <f t="shared" si="22"/>
        <v/>
      </c>
      <c r="V23" s="21">
        <f t="shared" si="21"/>
        <v>70.000000000000071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-80.857142857144936</v>
      </c>
      <c r="AF23" s="20">
        <f t="shared" si="9"/>
        <v>0.95957142857142752</v>
      </c>
      <c r="AG23" s="170"/>
    </row>
    <row r="24" spans="1:33" ht="15.75" customHeight="1">
      <c r="A24" s="193" t="s">
        <v>910</v>
      </c>
      <c r="B24" s="35" t="s">
        <v>78</v>
      </c>
      <c r="C24" s="190" t="s">
        <v>95</v>
      </c>
      <c r="D24" s="190"/>
      <c r="E24" s="35">
        <v>53.68</v>
      </c>
      <c r="F24" s="4">
        <v>1000</v>
      </c>
      <c r="G24" s="4">
        <f t="shared" si="19"/>
        <v>53680</v>
      </c>
      <c r="H24" s="21">
        <v>2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1428.5714285714282</v>
      </c>
      <c r="N24" s="16">
        <f t="shared" si="3"/>
        <v>89.285714285714263</v>
      </c>
      <c r="O24" s="18">
        <f t="shared" si="4"/>
        <v>0</v>
      </c>
      <c r="P24" s="19">
        <f t="shared" si="5"/>
        <v>-4.4642857142857366</v>
      </c>
      <c r="Q24" s="20">
        <f t="shared" si="6"/>
        <v>0.95238095238095211</v>
      </c>
      <c r="R24" s="170"/>
      <c r="S24" s="27">
        <v>0.76111111111111118</v>
      </c>
      <c r="T24" s="27">
        <v>0.79027777777777786</v>
      </c>
      <c r="U24" s="4">
        <f t="shared" si="22"/>
        <v>5.9999999999999787</v>
      </c>
      <c r="V24" s="21">
        <f t="shared" si="21"/>
        <v>42.000000000000014</v>
      </c>
      <c r="W24" s="22"/>
      <c r="X24" s="4"/>
      <c r="Y24" s="4"/>
      <c r="Z24" s="4"/>
      <c r="AA24" s="162"/>
      <c r="AB24" s="162"/>
      <c r="AC24" s="24"/>
      <c r="AD24" s="24"/>
      <c r="AE24" s="18">
        <f t="shared" si="8"/>
        <v>-71.428571428571786</v>
      </c>
      <c r="AF24" s="20">
        <f t="shared" si="9"/>
        <v>0.95238095238095211</v>
      </c>
      <c r="AG24" s="170"/>
    </row>
    <row r="25" spans="1:33" ht="15.75" customHeight="1">
      <c r="A25" s="193" t="s">
        <v>910</v>
      </c>
      <c r="B25" s="35" t="s">
        <v>78</v>
      </c>
      <c r="C25" s="190" t="s">
        <v>96</v>
      </c>
      <c r="D25" s="190"/>
      <c r="E25" s="35">
        <v>57.3</v>
      </c>
      <c r="F25" s="4">
        <v>2015</v>
      </c>
      <c r="G25" s="4">
        <f t="shared" si="19"/>
        <v>115459.5</v>
      </c>
      <c r="H25" s="21" t="s">
        <v>133</v>
      </c>
      <c r="I25" s="15">
        <v>13</v>
      </c>
      <c r="J25" s="17">
        <v>2000</v>
      </c>
      <c r="K25" s="16">
        <f t="shared" si="1"/>
        <v>153.84615384615384</v>
      </c>
      <c r="L25" s="15">
        <v>13</v>
      </c>
      <c r="M25" s="17">
        <f t="shared" si="20"/>
        <v>1919.0476190476211</v>
      </c>
      <c r="N25" s="16">
        <f t="shared" si="3"/>
        <v>147.61904761904776</v>
      </c>
      <c r="O25" s="18">
        <f t="shared" si="4"/>
        <v>0</v>
      </c>
      <c r="P25" s="19">
        <f t="shared" si="5"/>
        <v>-6.2271062271060771</v>
      </c>
      <c r="Q25" s="20">
        <f t="shared" si="6"/>
        <v>0.95952380952381044</v>
      </c>
      <c r="R25" s="170"/>
      <c r="S25" s="27">
        <v>0.79444444444444451</v>
      </c>
      <c r="T25" s="27">
        <v>0.83819444444444446</v>
      </c>
      <c r="U25" s="4">
        <f t="shared" si="22"/>
        <v>5.9999999999999787</v>
      </c>
      <c r="V25" s="21">
        <f t="shared" si="21"/>
        <v>62.999999999999936</v>
      </c>
      <c r="W25" s="22">
        <f>T25</f>
        <v>0.83819444444444446</v>
      </c>
      <c r="X25" s="22">
        <f>S26</f>
        <v>0.87986111111111109</v>
      </c>
      <c r="Y25" s="4"/>
      <c r="Z25" s="4"/>
      <c r="AA25" s="162"/>
      <c r="AB25" s="162"/>
      <c r="AC25" s="24"/>
      <c r="AD25" s="24"/>
      <c r="AE25" s="18">
        <f t="shared" si="8"/>
        <v>-80.952380952378917</v>
      </c>
      <c r="AF25" s="20">
        <f t="shared" si="9"/>
        <v>0.95952380952381056</v>
      </c>
      <c r="AG25" s="170"/>
    </row>
    <row r="26" spans="1:33" ht="15.75" customHeight="1">
      <c r="A26" s="193" t="s">
        <v>910</v>
      </c>
      <c r="B26" s="35" t="s">
        <v>78</v>
      </c>
      <c r="C26" s="190" t="s">
        <v>95</v>
      </c>
      <c r="D26" s="190"/>
      <c r="E26" s="35">
        <v>53.68</v>
      </c>
      <c r="F26" s="4">
        <v>841</v>
      </c>
      <c r="G26" s="4">
        <f t="shared" si="19"/>
        <v>45144.88</v>
      </c>
      <c r="H26" s="21" t="s">
        <v>133</v>
      </c>
      <c r="I26" s="15">
        <v>16</v>
      </c>
      <c r="J26" s="17">
        <v>1500</v>
      </c>
      <c r="K26" s="16">
        <f t="shared" si="1"/>
        <v>93.75</v>
      </c>
      <c r="L26" s="15">
        <v>16</v>
      </c>
      <c r="M26" s="17">
        <f t="shared" si="20"/>
        <v>1441.7142857142842</v>
      </c>
      <c r="N26" s="16">
        <f t="shared" si="3"/>
        <v>90.107142857142762</v>
      </c>
      <c r="O26" s="18">
        <f t="shared" si="4"/>
        <v>0</v>
      </c>
      <c r="P26" s="19">
        <f t="shared" si="5"/>
        <v>-3.6428571428572383</v>
      </c>
      <c r="Q26" s="20">
        <f t="shared" si="6"/>
        <v>0.96114285714285608</v>
      </c>
      <c r="R26" s="170"/>
      <c r="S26" s="27">
        <v>0.87986111111111109</v>
      </c>
      <c r="T26" s="27">
        <v>0.90416666666666667</v>
      </c>
      <c r="U26" s="4">
        <f t="shared" si="22"/>
        <v>59.999999999999943</v>
      </c>
      <c r="V26" s="21">
        <f t="shared" si="21"/>
        <v>35.000000000000036</v>
      </c>
      <c r="W26" s="22"/>
      <c r="X26" s="27"/>
      <c r="Y26" s="27"/>
      <c r="Z26" s="27"/>
      <c r="AA26" s="162"/>
      <c r="AB26" s="162"/>
      <c r="AC26" s="24"/>
      <c r="AD26" s="24"/>
      <c r="AE26" s="18">
        <f t="shared" si="8"/>
        <v>-58.285714285715812</v>
      </c>
      <c r="AF26" s="20">
        <f t="shared" si="9"/>
        <v>0.96114285714285608</v>
      </c>
      <c r="AG26" s="170"/>
    </row>
    <row r="27" spans="1:33" ht="15.75" customHeight="1">
      <c r="A27" s="193" t="s">
        <v>910</v>
      </c>
      <c r="B27" s="35" t="s">
        <v>908</v>
      </c>
      <c r="C27" s="171"/>
      <c r="D27" s="171"/>
      <c r="E27" s="36"/>
      <c r="F27" s="4"/>
      <c r="G27" s="4"/>
      <c r="H27" s="4"/>
      <c r="I27" s="29">
        <v>15</v>
      </c>
      <c r="J27" s="17">
        <v>1833.3333333333333</v>
      </c>
      <c r="K27" s="16">
        <f t="shared" si="1"/>
        <v>122.22222222222221</v>
      </c>
      <c r="L27" s="29">
        <v>15</v>
      </c>
      <c r="M27" s="17">
        <f>AVERAGE(M21:M26)</f>
        <v>1753.4920703516207</v>
      </c>
      <c r="N27" s="16">
        <f t="shared" si="3"/>
        <v>116.89947135677471</v>
      </c>
      <c r="O27" s="18">
        <f t="shared" si="4"/>
        <v>0</v>
      </c>
      <c r="P27" s="19">
        <f t="shared" si="5"/>
        <v>-5.3227508654475031</v>
      </c>
      <c r="Q27" s="20">
        <f t="shared" si="6"/>
        <v>0.95645022019179315</v>
      </c>
      <c r="R27" s="170"/>
      <c r="S27" s="27"/>
      <c r="T27" s="27"/>
      <c r="U27" s="16"/>
      <c r="V27" s="21"/>
      <c r="W27" s="16"/>
      <c r="X27" s="16"/>
      <c r="Y27" s="30">
        <f>SUM(Y21:Y26)</f>
        <v>0</v>
      </c>
      <c r="Z27" s="30">
        <f>SUM(Z21:Z26)</f>
        <v>0</v>
      </c>
      <c r="AA27" s="166"/>
      <c r="AB27" s="166"/>
      <c r="AC27" s="30">
        <v>6</v>
      </c>
      <c r="AD27" s="30">
        <f>SUM(AD21:AD26)</f>
        <v>0</v>
      </c>
      <c r="AE27" s="18">
        <f t="shared" si="8"/>
        <v>-79.841262981712589</v>
      </c>
      <c r="AF27" s="20">
        <f t="shared" si="9"/>
        <v>0.95645022019179315</v>
      </c>
      <c r="AG27" s="170"/>
    </row>
    <row r="28" spans="1:33" ht="15.75" customHeight="1">
      <c r="A28" s="191" t="s">
        <v>911</v>
      </c>
      <c r="B28" s="35" t="s">
        <v>97</v>
      </c>
      <c r="C28" s="190" t="s">
        <v>98</v>
      </c>
      <c r="D28" s="190"/>
      <c r="E28" s="35">
        <v>31.29</v>
      </c>
      <c r="F28" s="4">
        <v>6500</v>
      </c>
      <c r="G28" s="4">
        <f t="shared" ref="G28:G36" si="23">E28*F28</f>
        <v>203385</v>
      </c>
      <c r="H28" s="21">
        <v>2</v>
      </c>
      <c r="I28" s="15">
        <v>18</v>
      </c>
      <c r="J28" s="17">
        <v>2400</v>
      </c>
      <c r="K28" s="16">
        <f t="shared" si="1"/>
        <v>133.33333333333334</v>
      </c>
      <c r="L28" s="15">
        <v>18</v>
      </c>
      <c r="M28" s="17">
        <f t="shared" ref="M28:M36" si="24">F28/V28*60</f>
        <v>2294.1176470588234</v>
      </c>
      <c r="N28" s="16">
        <f t="shared" si="3"/>
        <v>127.45098039215685</v>
      </c>
      <c r="O28" s="18">
        <f t="shared" si="4"/>
        <v>0</v>
      </c>
      <c r="P28" s="19">
        <f t="shared" si="5"/>
        <v>-5.8823529411764923</v>
      </c>
      <c r="Q28" s="20">
        <f t="shared" si="6"/>
        <v>0.95588235294117629</v>
      </c>
      <c r="R28" s="170">
        <f>Q37</f>
        <v>0.95687024651615316</v>
      </c>
      <c r="S28" s="27">
        <v>8.3333333333333329E-2</v>
      </c>
      <c r="T28" s="27">
        <v>0.2013888888888889</v>
      </c>
      <c r="U28" s="4"/>
      <c r="V28" s="21">
        <f t="shared" ref="V28:V36" si="25">(T28-S28)*24*60</f>
        <v>170</v>
      </c>
      <c r="W28" s="22">
        <f>T28</f>
        <v>0.2013888888888889</v>
      </c>
      <c r="X28" s="22">
        <f>S29</f>
        <v>0.22083333333333333</v>
      </c>
      <c r="Y28" s="22"/>
      <c r="Z28" s="22"/>
      <c r="AA28" s="162"/>
      <c r="AB28" s="162"/>
      <c r="AC28" s="24">
        <v>9</v>
      </c>
      <c r="AD28" s="24"/>
      <c r="AE28" s="18">
        <f t="shared" si="8"/>
        <v>-105.88235294117658</v>
      </c>
      <c r="AF28" s="20">
        <f t="shared" si="9"/>
        <v>0.95588235294117641</v>
      </c>
      <c r="AG28" s="170">
        <f>AF37</f>
        <v>0.95687024651615316</v>
      </c>
    </row>
    <row r="29" spans="1:33" ht="15.75" customHeight="1">
      <c r="A29" s="191" t="s">
        <v>911</v>
      </c>
      <c r="B29" s="35" t="s">
        <v>97</v>
      </c>
      <c r="C29" s="190" t="s">
        <v>99</v>
      </c>
      <c r="D29" s="190"/>
      <c r="E29" s="35">
        <v>25.98</v>
      </c>
      <c r="F29" s="4">
        <v>3288</v>
      </c>
      <c r="G29" s="4">
        <f t="shared" si="23"/>
        <v>85422.24</v>
      </c>
      <c r="H29" s="21" t="s">
        <v>133</v>
      </c>
      <c r="I29" s="15">
        <v>21</v>
      </c>
      <c r="J29" s="17">
        <v>2400</v>
      </c>
      <c r="K29" s="16">
        <f t="shared" si="1"/>
        <v>114.28571428571429</v>
      </c>
      <c r="L29" s="15">
        <v>21</v>
      </c>
      <c r="M29" s="17">
        <f t="shared" si="24"/>
        <v>2293.953488372093</v>
      </c>
      <c r="N29" s="16">
        <f t="shared" si="3"/>
        <v>109.2358803986711</v>
      </c>
      <c r="O29" s="18">
        <f t="shared" si="4"/>
        <v>0</v>
      </c>
      <c r="P29" s="19">
        <f t="shared" si="5"/>
        <v>-5.0498338870431922</v>
      </c>
      <c r="Q29" s="20">
        <f t="shared" si="6"/>
        <v>0.95581395348837206</v>
      </c>
      <c r="R29" s="170"/>
      <c r="S29" s="27">
        <v>0.22083333333333333</v>
      </c>
      <c r="T29" s="27">
        <v>0.28055555555555556</v>
      </c>
      <c r="U29" s="4">
        <f t="shared" ref="U29:U36" si="26">(S29-T28)*24*60</f>
        <v>27.999999999999979</v>
      </c>
      <c r="V29" s="21">
        <f t="shared" si="25"/>
        <v>86.000000000000014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-106.04651162790697</v>
      </c>
      <c r="AF29" s="20">
        <f t="shared" si="9"/>
        <v>0.95581395348837206</v>
      </c>
      <c r="AG29" s="170"/>
    </row>
    <row r="30" spans="1:33" ht="15.75" customHeight="1">
      <c r="A30" s="191" t="s">
        <v>911</v>
      </c>
      <c r="B30" s="35" t="s">
        <v>97</v>
      </c>
      <c r="C30" s="190" t="s">
        <v>100</v>
      </c>
      <c r="D30" s="190"/>
      <c r="E30" s="35">
        <v>26.2</v>
      </c>
      <c r="F30" s="4">
        <v>3600</v>
      </c>
      <c r="G30" s="4">
        <f t="shared" si="23"/>
        <v>94320</v>
      </c>
      <c r="H30" s="21">
        <v>2</v>
      </c>
      <c r="I30" s="15">
        <v>20</v>
      </c>
      <c r="J30" s="17">
        <v>2400</v>
      </c>
      <c r="K30" s="16">
        <f t="shared" si="1"/>
        <v>120</v>
      </c>
      <c r="L30" s="15">
        <v>20</v>
      </c>
      <c r="M30" s="17">
        <f t="shared" si="24"/>
        <v>2297.872340425532</v>
      </c>
      <c r="N30" s="16">
        <f t="shared" si="3"/>
        <v>114.8936170212766</v>
      </c>
      <c r="O30" s="18">
        <f t="shared" si="4"/>
        <v>0</v>
      </c>
      <c r="P30" s="19">
        <f t="shared" si="5"/>
        <v>-5.1063829787234027</v>
      </c>
      <c r="Q30" s="20">
        <f t="shared" si="6"/>
        <v>0.95744680851063835</v>
      </c>
      <c r="R30" s="170"/>
      <c r="S30" s="27">
        <v>0.28611111111111109</v>
      </c>
      <c r="T30" s="27">
        <v>0.35138888888888886</v>
      </c>
      <c r="U30" s="4">
        <f t="shared" si="26"/>
        <v>7.9999999999999716</v>
      </c>
      <c r="V30" s="21">
        <f t="shared" si="25"/>
        <v>93.999999999999986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-102.127659574468</v>
      </c>
      <c r="AF30" s="20">
        <f t="shared" si="9"/>
        <v>0.95744680851063835</v>
      </c>
      <c r="AG30" s="170"/>
    </row>
    <row r="31" spans="1:33" ht="15.75" customHeight="1">
      <c r="A31" s="191" t="s">
        <v>911</v>
      </c>
      <c r="B31" s="35" t="s">
        <v>97</v>
      </c>
      <c r="C31" s="190" t="s">
        <v>101</v>
      </c>
      <c r="D31" s="190"/>
      <c r="E31" s="35">
        <v>25.99</v>
      </c>
      <c r="F31" s="4">
        <v>2800</v>
      </c>
      <c r="G31" s="4">
        <f t="shared" si="23"/>
        <v>72772</v>
      </c>
      <c r="H31" s="21">
        <v>2</v>
      </c>
      <c r="I31" s="15">
        <v>14</v>
      </c>
      <c r="J31" s="17">
        <v>2400</v>
      </c>
      <c r="K31" s="16">
        <f t="shared" si="1"/>
        <v>171.42857142857142</v>
      </c>
      <c r="L31" s="15">
        <v>14</v>
      </c>
      <c r="M31" s="17">
        <f t="shared" si="24"/>
        <v>2301.3698630136987</v>
      </c>
      <c r="N31" s="16">
        <f t="shared" si="3"/>
        <v>164.38356164383563</v>
      </c>
      <c r="O31" s="18">
        <f t="shared" si="4"/>
        <v>0</v>
      </c>
      <c r="P31" s="19">
        <f t="shared" si="5"/>
        <v>-7.0450097847357824</v>
      </c>
      <c r="Q31" s="20">
        <f t="shared" si="6"/>
        <v>0.95890410958904126</v>
      </c>
      <c r="R31" s="170"/>
      <c r="S31" s="27">
        <v>0.35555555555555551</v>
      </c>
      <c r="T31" s="27">
        <v>0.40624999999999994</v>
      </c>
      <c r="U31" s="4">
        <f t="shared" si="26"/>
        <v>5.9999999999999787</v>
      </c>
      <c r="V31" s="21">
        <f t="shared" si="25"/>
        <v>72.999999999999986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-98.630136986301295</v>
      </c>
      <c r="AF31" s="20">
        <f t="shared" si="9"/>
        <v>0.95890410958904115</v>
      </c>
      <c r="AG31" s="170"/>
    </row>
    <row r="32" spans="1:33" ht="15.75" customHeight="1">
      <c r="A32" s="191" t="s">
        <v>911</v>
      </c>
      <c r="B32" s="35" t="s">
        <v>97</v>
      </c>
      <c r="C32" s="190" t="s">
        <v>102</v>
      </c>
      <c r="D32" s="190"/>
      <c r="E32" s="35">
        <v>26.18</v>
      </c>
      <c r="F32" s="4">
        <v>2005</v>
      </c>
      <c r="G32" s="4">
        <f t="shared" si="23"/>
        <v>52490.9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4"/>
        <v>2313.4615384615395</v>
      </c>
      <c r="N32" s="16">
        <f t="shared" si="3"/>
        <v>121.76113360323892</v>
      </c>
      <c r="O32" s="18">
        <f t="shared" si="4"/>
        <v>0</v>
      </c>
      <c r="P32" s="19">
        <f t="shared" si="5"/>
        <v>-4.5546558704452877</v>
      </c>
      <c r="Q32" s="20">
        <f t="shared" si="6"/>
        <v>0.96394230769230815</v>
      </c>
      <c r="R32" s="170"/>
      <c r="S32" s="27">
        <v>0.4104166666666666</v>
      </c>
      <c r="T32" s="27">
        <v>0.44652777777777769</v>
      </c>
      <c r="U32" s="4">
        <f t="shared" si="26"/>
        <v>5.9999999999999787</v>
      </c>
      <c r="V32" s="21">
        <f t="shared" si="25"/>
        <v>51.999999999999972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-86.538461538460524</v>
      </c>
      <c r="AF32" s="20">
        <f t="shared" si="9"/>
        <v>0.96394230769230815</v>
      </c>
      <c r="AG32" s="170"/>
    </row>
    <row r="33" spans="1:33" ht="15.75" customHeight="1">
      <c r="A33" s="191" t="s">
        <v>911</v>
      </c>
      <c r="B33" s="35" t="s">
        <v>97</v>
      </c>
      <c r="C33" s="190" t="s">
        <v>106</v>
      </c>
      <c r="D33" s="190"/>
      <c r="E33" s="35">
        <v>20.21</v>
      </c>
      <c r="F33" s="4">
        <v>3118</v>
      </c>
      <c r="G33" s="4">
        <f t="shared" si="23"/>
        <v>63014.780000000006</v>
      </c>
      <c r="H33" s="21" t="s">
        <v>133</v>
      </c>
      <c r="I33" s="15">
        <v>15</v>
      </c>
      <c r="J33" s="17">
        <v>2400</v>
      </c>
      <c r="K33" s="16">
        <f t="shared" si="1"/>
        <v>160</v>
      </c>
      <c r="L33" s="15">
        <v>15</v>
      </c>
      <c r="M33" s="17">
        <f t="shared" si="24"/>
        <v>2281.4634146341482</v>
      </c>
      <c r="N33" s="16">
        <f t="shared" si="3"/>
        <v>152.09756097560987</v>
      </c>
      <c r="O33" s="18">
        <f t="shared" si="4"/>
        <v>0</v>
      </c>
      <c r="P33" s="19">
        <f t="shared" si="5"/>
        <v>-7.9024390243901337</v>
      </c>
      <c r="Q33" s="20">
        <f t="shared" si="6"/>
        <v>0.95060975609756171</v>
      </c>
      <c r="R33" s="170"/>
      <c r="S33" s="27">
        <v>0.45069444444444434</v>
      </c>
      <c r="T33" s="27">
        <v>0.50763888888888875</v>
      </c>
      <c r="U33" s="4">
        <f t="shared" si="26"/>
        <v>5.9999999999999787</v>
      </c>
      <c r="V33" s="21">
        <f t="shared" si="25"/>
        <v>81.999999999999943</v>
      </c>
      <c r="W33" s="22">
        <f>T33</f>
        <v>0.50763888888888875</v>
      </c>
      <c r="X33" s="22">
        <f>S34</f>
        <v>0.5479166666666665</v>
      </c>
      <c r="Y33" s="22"/>
      <c r="Z33" s="22"/>
      <c r="AA33" s="162"/>
      <c r="AB33" s="162"/>
      <c r="AC33" s="24"/>
      <c r="AD33" s="24"/>
      <c r="AE33" s="18">
        <f t="shared" si="8"/>
        <v>-118.53658536585181</v>
      </c>
      <c r="AF33" s="20">
        <f t="shared" si="9"/>
        <v>0.95060975609756171</v>
      </c>
      <c r="AG33" s="170"/>
    </row>
    <row r="34" spans="1:33" ht="15.75" customHeight="1">
      <c r="A34" s="191" t="s">
        <v>911</v>
      </c>
      <c r="B34" s="35" t="s">
        <v>97</v>
      </c>
      <c r="C34" s="190" t="s">
        <v>100</v>
      </c>
      <c r="D34" s="190"/>
      <c r="E34" s="35">
        <v>26.2</v>
      </c>
      <c r="F34" s="4">
        <v>1960</v>
      </c>
      <c r="G34" s="4">
        <f t="shared" si="23"/>
        <v>51352</v>
      </c>
      <c r="H34" s="21" t="s">
        <v>133</v>
      </c>
      <c r="I34" s="15">
        <v>20</v>
      </c>
      <c r="J34" s="17">
        <v>2400</v>
      </c>
      <c r="K34" s="16">
        <f t="shared" si="1"/>
        <v>120</v>
      </c>
      <c r="L34" s="15">
        <v>20</v>
      </c>
      <c r="M34" s="17">
        <f t="shared" si="24"/>
        <v>2305.882352941177</v>
      </c>
      <c r="N34" s="16">
        <f t="shared" si="3"/>
        <v>115.29411764705885</v>
      </c>
      <c r="O34" s="18">
        <f t="shared" si="4"/>
        <v>0</v>
      </c>
      <c r="P34" s="19">
        <f t="shared" si="5"/>
        <v>-4.7058823529411455</v>
      </c>
      <c r="Q34" s="20">
        <f t="shared" si="6"/>
        <v>0.96078431372549045</v>
      </c>
      <c r="R34" s="170"/>
      <c r="S34" s="27">
        <v>0.5479166666666665</v>
      </c>
      <c r="T34" s="27">
        <v>0.58333333333333315</v>
      </c>
      <c r="U34" s="4">
        <f t="shared" si="26"/>
        <v>57.999999999999957</v>
      </c>
      <c r="V34" s="21">
        <f t="shared" si="25"/>
        <v>50.999999999999979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-94.117647058822968</v>
      </c>
      <c r="AF34" s="20">
        <f t="shared" si="9"/>
        <v>0.96078431372549045</v>
      </c>
      <c r="AG34" s="170"/>
    </row>
    <row r="35" spans="1:33" ht="15.75" customHeight="1">
      <c r="A35" s="191" t="s">
        <v>911</v>
      </c>
      <c r="B35" s="35" t="s">
        <v>97</v>
      </c>
      <c r="C35" s="190" t="s">
        <v>98</v>
      </c>
      <c r="D35" s="190"/>
      <c r="E35" s="35">
        <v>31.29</v>
      </c>
      <c r="F35" s="4">
        <v>3502</v>
      </c>
      <c r="G35" s="4">
        <f t="shared" si="23"/>
        <v>109577.58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4"/>
        <v>2283.913043478261</v>
      </c>
      <c r="N35" s="16">
        <f t="shared" si="3"/>
        <v>126.8840579710145</v>
      </c>
      <c r="O35" s="18">
        <f t="shared" si="4"/>
        <v>0</v>
      </c>
      <c r="P35" s="19">
        <f t="shared" si="5"/>
        <v>-6.4492753623188435</v>
      </c>
      <c r="Q35" s="20">
        <f t="shared" si="6"/>
        <v>0.95163043478260867</v>
      </c>
      <c r="R35" s="170"/>
      <c r="S35" s="27">
        <v>0.5874999999999998</v>
      </c>
      <c r="T35" s="27">
        <v>0.65138888888888868</v>
      </c>
      <c r="U35" s="4">
        <f t="shared" si="26"/>
        <v>5.9999999999999787</v>
      </c>
      <c r="V35" s="21">
        <f t="shared" si="25"/>
        <v>92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-116.08695652173901</v>
      </c>
      <c r="AF35" s="20">
        <f t="shared" si="9"/>
        <v>0.95163043478260878</v>
      </c>
      <c r="AG35" s="170"/>
    </row>
    <row r="36" spans="1:33" ht="15.75" customHeight="1">
      <c r="A36" s="191" t="s">
        <v>911</v>
      </c>
      <c r="B36" s="35" t="s">
        <v>97</v>
      </c>
      <c r="C36" s="215" t="s">
        <v>101</v>
      </c>
      <c r="D36" s="216"/>
      <c r="E36" s="35">
        <v>25.99</v>
      </c>
      <c r="F36" s="4">
        <v>1684</v>
      </c>
      <c r="G36" s="4">
        <f t="shared" si="23"/>
        <v>43767.159999999996</v>
      </c>
      <c r="H36" s="21" t="s">
        <v>133</v>
      </c>
      <c r="I36" s="15">
        <v>14</v>
      </c>
      <c r="J36" s="17">
        <v>2400</v>
      </c>
      <c r="K36" s="16">
        <f t="shared" si="1"/>
        <v>171.42857142857142</v>
      </c>
      <c r="L36" s="15">
        <v>14</v>
      </c>
      <c r="M36" s="17">
        <f t="shared" si="24"/>
        <v>2296.3636363636365</v>
      </c>
      <c r="N36" s="16">
        <f t="shared" si="3"/>
        <v>164.02597402597402</v>
      </c>
      <c r="O36" s="18">
        <f t="shared" si="4"/>
        <v>0</v>
      </c>
      <c r="P36" s="19">
        <f t="shared" si="5"/>
        <v>-7.4025974025973937</v>
      </c>
      <c r="Q36" s="20">
        <f t="shared" si="6"/>
        <v>0.9568181818181819</v>
      </c>
      <c r="R36" s="170"/>
      <c r="S36" s="27">
        <v>0.65555555555555534</v>
      </c>
      <c r="T36" s="27">
        <v>0.68611111111111089</v>
      </c>
      <c r="U36" s="4">
        <f t="shared" si="26"/>
        <v>5.9999999999999787</v>
      </c>
      <c r="V36" s="21">
        <f t="shared" si="25"/>
        <v>44</v>
      </c>
      <c r="W36" s="22"/>
      <c r="X36" s="22"/>
      <c r="Y36" s="25"/>
      <c r="Z36" s="25"/>
      <c r="AA36" s="176"/>
      <c r="AB36" s="177"/>
      <c r="AC36" s="24"/>
      <c r="AD36" s="24"/>
      <c r="AE36" s="18">
        <f t="shared" si="8"/>
        <v>-103.63636363636351</v>
      </c>
      <c r="AF36" s="20">
        <f t="shared" si="9"/>
        <v>0.9568181818181819</v>
      </c>
      <c r="AG36" s="170"/>
    </row>
    <row r="37" spans="1:33" ht="15.75" customHeight="1">
      <c r="A37" s="191" t="s">
        <v>911</v>
      </c>
      <c r="B37" s="35" t="s">
        <v>912</v>
      </c>
      <c r="C37" s="171"/>
      <c r="D37" s="171"/>
      <c r="E37" s="36"/>
      <c r="F37" s="4"/>
      <c r="G37" s="4"/>
      <c r="H37" s="4"/>
      <c r="I37" s="29">
        <v>17.666666666666668</v>
      </c>
      <c r="J37" s="17">
        <v>2400</v>
      </c>
      <c r="K37" s="16">
        <f t="shared" si="1"/>
        <v>135.84905660377356</v>
      </c>
      <c r="L37" s="29">
        <v>17.666666666666668</v>
      </c>
      <c r="M37" s="17">
        <f>AVERAGE(M28:M36)</f>
        <v>2296.4885916387675</v>
      </c>
      <c r="N37" s="16">
        <f t="shared" si="3"/>
        <v>129.98992028143965</v>
      </c>
      <c r="O37" s="18">
        <f t="shared" si="4"/>
        <v>0</v>
      </c>
      <c r="P37" s="19">
        <f t="shared" si="5"/>
        <v>-5.8591363223339101</v>
      </c>
      <c r="Q37" s="20">
        <f t="shared" si="6"/>
        <v>0.95687024651615316</v>
      </c>
      <c r="R37" s="170"/>
      <c r="S37" s="27"/>
      <c r="T37" s="27"/>
      <c r="U37" s="4"/>
      <c r="V37" s="21"/>
      <c r="W37" s="4"/>
      <c r="X37" s="4"/>
      <c r="Y37" s="30">
        <f>SUM(Y28:Y36)</f>
        <v>0</v>
      </c>
      <c r="Z37" s="30">
        <f>SUM(Z28:Z36)</f>
        <v>0</v>
      </c>
      <c r="AA37" s="166"/>
      <c r="AB37" s="166"/>
      <c r="AC37" s="30">
        <v>9</v>
      </c>
      <c r="AD37" s="30">
        <f>SUM(AD28:AD36)</f>
        <v>0</v>
      </c>
      <c r="AE37" s="18">
        <f t="shared" si="8"/>
        <v>-103.5114083612325</v>
      </c>
      <c r="AF37" s="20">
        <f t="shared" si="9"/>
        <v>0.95687024651615316</v>
      </c>
      <c r="AG37" s="170"/>
    </row>
    <row r="38" spans="1:33" ht="15.75" customHeight="1">
      <c r="A38" s="188" t="s">
        <v>913</v>
      </c>
      <c r="B38" s="35" t="s">
        <v>97</v>
      </c>
      <c r="C38" s="163" t="s">
        <v>103</v>
      </c>
      <c r="D38" s="163"/>
      <c r="E38" s="35">
        <v>26.2</v>
      </c>
      <c r="F38" s="4">
        <v>4100</v>
      </c>
      <c r="G38" s="4">
        <f t="shared" ref="G38:G44" si="27">E38*F38</f>
        <v>107420</v>
      </c>
      <c r="H38" s="21">
        <v>2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ref="M38:M44" si="28">F38/V38*60</f>
        <v>2299.065420560748</v>
      </c>
      <c r="N38" s="16">
        <f t="shared" si="3"/>
        <v>127.72585669781932</v>
      </c>
      <c r="O38" s="18">
        <f t="shared" si="4"/>
        <v>0</v>
      </c>
      <c r="P38" s="19">
        <f t="shared" si="5"/>
        <v>-5.6074766355140184</v>
      </c>
      <c r="Q38" s="20">
        <f t="shared" si="6"/>
        <v>0.95794392523364491</v>
      </c>
      <c r="R38" s="170">
        <f>Q45</f>
        <v>0.955781552197984</v>
      </c>
      <c r="S38" s="27">
        <v>8.3333333333333329E-2</v>
      </c>
      <c r="T38" s="27">
        <v>0.15763888888888888</v>
      </c>
      <c r="U38" s="4"/>
      <c r="V38" s="21">
        <f t="shared" ref="V38:V44" si="29">(T38-S38)*24*60</f>
        <v>107</v>
      </c>
      <c r="W38" s="27">
        <f>T38</f>
        <v>0.15763888888888888</v>
      </c>
      <c r="X38" s="27">
        <f>S39</f>
        <v>0.17708333333333334</v>
      </c>
      <c r="Y38" s="27"/>
      <c r="Z38" s="27"/>
      <c r="AA38" s="162"/>
      <c r="AB38" s="162"/>
      <c r="AC38" s="24">
        <v>7</v>
      </c>
      <c r="AD38" s="24"/>
      <c r="AE38" s="18">
        <f t="shared" si="8"/>
        <v>-100.93457943925205</v>
      </c>
      <c r="AF38" s="20">
        <f t="shared" si="9"/>
        <v>0.95794392523364502</v>
      </c>
      <c r="AG38" s="170">
        <f>AF45</f>
        <v>0.955781552197984</v>
      </c>
    </row>
    <row r="39" spans="1:33" ht="15.75" customHeight="1">
      <c r="A39" s="188" t="s">
        <v>913</v>
      </c>
      <c r="B39" s="35" t="s">
        <v>97</v>
      </c>
      <c r="C39" s="163" t="s">
        <v>104</v>
      </c>
      <c r="D39" s="163"/>
      <c r="E39" s="35">
        <v>20.52</v>
      </c>
      <c r="F39" s="4">
        <v>4148</v>
      </c>
      <c r="G39" s="4">
        <f t="shared" si="27"/>
        <v>85116.959999999992</v>
      </c>
      <c r="H39" s="21" t="s">
        <v>133</v>
      </c>
      <c r="I39" s="15">
        <v>18</v>
      </c>
      <c r="J39" s="17">
        <v>2400</v>
      </c>
      <c r="K39" s="16">
        <f t="shared" si="1"/>
        <v>133.33333333333334</v>
      </c>
      <c r="L39" s="15">
        <v>18</v>
      </c>
      <c r="M39" s="17">
        <f t="shared" si="28"/>
        <v>2283.3027522935786</v>
      </c>
      <c r="N39" s="16">
        <f t="shared" si="3"/>
        <v>126.85015290519881</v>
      </c>
      <c r="O39" s="18">
        <f t="shared" si="4"/>
        <v>0</v>
      </c>
      <c r="P39" s="19">
        <f t="shared" si="5"/>
        <v>-6.4831804281345313</v>
      </c>
      <c r="Q39" s="20">
        <f t="shared" si="6"/>
        <v>0.95137614678899107</v>
      </c>
      <c r="R39" s="170"/>
      <c r="S39" s="27">
        <v>0.17708333333333334</v>
      </c>
      <c r="T39" s="27">
        <v>0.25277777777777777</v>
      </c>
      <c r="U39" s="4">
        <f t="shared" ref="U39:U44" si="30">(S39-T38)*24*60</f>
        <v>28.000000000000021</v>
      </c>
      <c r="V39" s="21">
        <f t="shared" si="29"/>
        <v>108.99999999999997</v>
      </c>
      <c r="W39" s="4"/>
      <c r="X39" s="4"/>
      <c r="Y39" s="4"/>
      <c r="Z39" s="4"/>
      <c r="AA39" s="162"/>
      <c r="AB39" s="162"/>
      <c r="AC39" s="24"/>
      <c r="AD39" s="24"/>
      <c r="AE39" s="18">
        <f t="shared" si="8"/>
        <v>-116.69724770642142</v>
      </c>
      <c r="AF39" s="20">
        <f t="shared" si="9"/>
        <v>0.95137614678899107</v>
      </c>
      <c r="AG39" s="170"/>
    </row>
    <row r="40" spans="1:33">
      <c r="A40" s="189" t="s">
        <v>913</v>
      </c>
      <c r="B40" s="35" t="s">
        <v>97</v>
      </c>
      <c r="C40" s="163" t="s">
        <v>105</v>
      </c>
      <c r="D40" s="163"/>
      <c r="E40" s="35">
        <v>26.39</v>
      </c>
      <c r="F40" s="4">
        <v>3800</v>
      </c>
      <c r="G40" s="4">
        <f t="shared" si="27"/>
        <v>100282</v>
      </c>
      <c r="H40" s="21">
        <v>2</v>
      </c>
      <c r="I40" s="15">
        <v>19</v>
      </c>
      <c r="J40" s="17">
        <v>2400</v>
      </c>
      <c r="K40" s="16">
        <f t="shared" si="1"/>
        <v>126.31578947368421</v>
      </c>
      <c r="L40" s="15">
        <v>19</v>
      </c>
      <c r="M40" s="17">
        <f t="shared" si="28"/>
        <v>2303.0303030303039</v>
      </c>
      <c r="N40" s="16">
        <f t="shared" si="3"/>
        <v>121.21212121212126</v>
      </c>
      <c r="O40" s="18">
        <f t="shared" si="4"/>
        <v>0</v>
      </c>
      <c r="P40" s="19">
        <f t="shared" si="5"/>
        <v>-5.1036682615629445</v>
      </c>
      <c r="Q40" s="20">
        <f t="shared" si="6"/>
        <v>0.95959595959596</v>
      </c>
      <c r="R40" s="170"/>
      <c r="S40" s="27">
        <v>0.2583333333333333</v>
      </c>
      <c r="T40" s="27">
        <v>0.32708333333333328</v>
      </c>
      <c r="U40" s="4">
        <f t="shared" si="30"/>
        <v>7.9999999999999716</v>
      </c>
      <c r="V40" s="21">
        <f t="shared" si="29"/>
        <v>98.999999999999972</v>
      </c>
      <c r="W40" s="4"/>
      <c r="X40" s="4"/>
      <c r="Y40" s="4"/>
      <c r="Z40" s="4"/>
      <c r="AA40" s="162"/>
      <c r="AB40" s="162"/>
      <c r="AC40" s="24"/>
      <c r="AD40" s="24"/>
      <c r="AE40" s="18">
        <f t="shared" si="8"/>
        <v>-96.969696969696088</v>
      </c>
      <c r="AF40" s="20">
        <f t="shared" si="9"/>
        <v>0.95959595959596</v>
      </c>
      <c r="AG40" s="170"/>
    </row>
    <row r="41" spans="1:33">
      <c r="A41" s="189" t="s">
        <v>913</v>
      </c>
      <c r="B41" s="35" t="s">
        <v>97</v>
      </c>
      <c r="C41" s="163" t="s">
        <v>107</v>
      </c>
      <c r="D41" s="163"/>
      <c r="E41" s="35">
        <v>20.52</v>
      </c>
      <c r="F41" s="4">
        <v>3098</v>
      </c>
      <c r="G41" s="4">
        <f t="shared" si="27"/>
        <v>63570.96</v>
      </c>
      <c r="H41" s="21" t="s">
        <v>133</v>
      </c>
      <c r="I41" s="15">
        <v>18</v>
      </c>
      <c r="J41" s="17">
        <v>2400</v>
      </c>
      <c r="K41" s="16">
        <f t="shared" si="1"/>
        <v>133.33333333333334</v>
      </c>
      <c r="L41" s="15">
        <v>18</v>
      </c>
      <c r="M41" s="17">
        <f t="shared" si="28"/>
        <v>2294.8148148148139</v>
      </c>
      <c r="N41" s="16">
        <f t="shared" si="3"/>
        <v>127.48971193415633</v>
      </c>
      <c r="O41" s="18">
        <f t="shared" si="4"/>
        <v>0</v>
      </c>
      <c r="P41" s="19">
        <f t="shared" si="5"/>
        <v>-5.8436213991770103</v>
      </c>
      <c r="Q41" s="20">
        <f t="shared" si="6"/>
        <v>0.95617283950617238</v>
      </c>
      <c r="R41" s="170"/>
      <c r="S41" s="27">
        <v>0.33055555555555549</v>
      </c>
      <c r="T41" s="27">
        <v>0.38680555555555551</v>
      </c>
      <c r="U41" s="4">
        <f t="shared" si="30"/>
        <v>4.9999999999999822</v>
      </c>
      <c r="V41" s="21">
        <f t="shared" si="29"/>
        <v>81.000000000000028</v>
      </c>
      <c r="W41" s="22"/>
      <c r="X41" s="22"/>
      <c r="Y41" s="22"/>
      <c r="Z41" s="22"/>
      <c r="AA41" s="162"/>
      <c r="AB41" s="162"/>
      <c r="AC41" s="24"/>
      <c r="AD41" s="24"/>
      <c r="AE41" s="18">
        <f t="shared" si="8"/>
        <v>-105.18518518518613</v>
      </c>
      <c r="AF41" s="20">
        <f t="shared" si="9"/>
        <v>0.95617283950617249</v>
      </c>
      <c r="AG41" s="170"/>
    </row>
    <row r="42" spans="1:33">
      <c r="A42" s="189" t="s">
        <v>913</v>
      </c>
      <c r="B42" s="35" t="s">
        <v>97</v>
      </c>
      <c r="C42" s="163" t="s">
        <v>304</v>
      </c>
      <c r="D42" s="163"/>
      <c r="E42" s="35">
        <v>22.69</v>
      </c>
      <c r="F42" s="4">
        <v>6501</v>
      </c>
      <c r="G42" s="4">
        <f t="shared" si="27"/>
        <v>147507.69</v>
      </c>
      <c r="H42" s="21" t="s">
        <v>133</v>
      </c>
      <c r="I42" s="15">
        <v>15</v>
      </c>
      <c r="J42" s="17">
        <v>2400</v>
      </c>
      <c r="K42" s="16">
        <f t="shared" si="1"/>
        <v>160</v>
      </c>
      <c r="L42" s="15">
        <v>15</v>
      </c>
      <c r="M42" s="17">
        <f t="shared" si="28"/>
        <v>2294.4705882352937</v>
      </c>
      <c r="N42" s="16">
        <f t="shared" si="3"/>
        <v>152.96470588235292</v>
      </c>
      <c r="O42" s="18">
        <f t="shared" si="4"/>
        <v>0</v>
      </c>
      <c r="P42" s="19">
        <f t="shared" si="5"/>
        <v>-7.0352941176470836</v>
      </c>
      <c r="Q42" s="20">
        <f t="shared" si="6"/>
        <v>0.95602941176470568</v>
      </c>
      <c r="R42" s="170"/>
      <c r="S42" s="27">
        <v>0.39166666666666661</v>
      </c>
      <c r="T42" s="27">
        <v>0.50972222222222219</v>
      </c>
      <c r="U42" s="4">
        <f t="shared" si="30"/>
        <v>6.9999999999999751</v>
      </c>
      <c r="V42" s="21">
        <f t="shared" si="29"/>
        <v>170.00000000000003</v>
      </c>
      <c r="W42" s="22">
        <f>T42</f>
        <v>0.50972222222222219</v>
      </c>
      <c r="X42" s="22">
        <f>S43</f>
        <v>0.54999999999999993</v>
      </c>
      <c r="Y42" s="22"/>
      <c r="Z42" s="22"/>
      <c r="AA42" s="162"/>
      <c r="AB42" s="162"/>
      <c r="AC42" s="24"/>
      <c r="AD42" s="24"/>
      <c r="AE42" s="18">
        <f t="shared" si="8"/>
        <v>-105.52941176470631</v>
      </c>
      <c r="AF42" s="20">
        <f t="shared" si="9"/>
        <v>0.95602941176470568</v>
      </c>
      <c r="AG42" s="170"/>
    </row>
    <row r="43" spans="1:33">
      <c r="A43" s="189" t="s">
        <v>913</v>
      </c>
      <c r="B43" s="35" t="s">
        <v>97</v>
      </c>
      <c r="C43" s="163" t="s">
        <v>105</v>
      </c>
      <c r="D43" s="163"/>
      <c r="E43" s="35">
        <v>26.39</v>
      </c>
      <c r="F43" s="4">
        <v>2597</v>
      </c>
      <c r="G43" s="4">
        <f t="shared" si="27"/>
        <v>68534.83</v>
      </c>
      <c r="H43" s="21" t="s">
        <v>133</v>
      </c>
      <c r="I43" s="15">
        <v>19</v>
      </c>
      <c r="J43" s="17">
        <v>2400</v>
      </c>
      <c r="K43" s="16">
        <f t="shared" si="1"/>
        <v>126.31578947368421</v>
      </c>
      <c r="L43" s="15">
        <v>19</v>
      </c>
      <c r="M43" s="17">
        <f t="shared" si="28"/>
        <v>2291.4705882352969</v>
      </c>
      <c r="N43" s="16">
        <f t="shared" si="3"/>
        <v>120.60371517027879</v>
      </c>
      <c r="O43" s="18">
        <f t="shared" si="4"/>
        <v>0</v>
      </c>
      <c r="P43" s="19">
        <f t="shared" si="5"/>
        <v>-5.7120743034054158</v>
      </c>
      <c r="Q43" s="20">
        <f t="shared" si="6"/>
        <v>0.95477941176470715</v>
      </c>
      <c r="R43" s="170"/>
      <c r="S43" s="27">
        <v>0.54999999999999993</v>
      </c>
      <c r="T43" s="27">
        <v>0.5972222222222221</v>
      </c>
      <c r="U43" s="4">
        <f t="shared" si="30"/>
        <v>57.999999999999957</v>
      </c>
      <c r="V43" s="21">
        <f t="shared" si="29"/>
        <v>67.999999999999915</v>
      </c>
      <c r="W43" s="22"/>
      <c r="X43" s="22"/>
      <c r="Y43" s="22"/>
      <c r="Z43" s="22"/>
      <c r="AA43" s="162"/>
      <c r="AB43" s="162"/>
      <c r="AC43" s="24"/>
      <c r="AD43" s="24"/>
      <c r="AE43" s="18">
        <f t="shared" si="8"/>
        <v>-108.52941176470313</v>
      </c>
      <c r="AF43" s="20">
        <f t="shared" si="9"/>
        <v>0.95477941176470704</v>
      </c>
      <c r="AG43" s="170"/>
    </row>
    <row r="44" spans="1:33">
      <c r="A44" s="189" t="s">
        <v>913</v>
      </c>
      <c r="B44" s="35" t="s">
        <v>97</v>
      </c>
      <c r="C44" s="163" t="s">
        <v>103</v>
      </c>
      <c r="D44" s="163"/>
      <c r="E44" s="35">
        <v>26.2</v>
      </c>
      <c r="F44" s="4">
        <v>3131</v>
      </c>
      <c r="G44" s="4">
        <f t="shared" si="27"/>
        <v>82032.2</v>
      </c>
      <c r="H44" s="21" t="s">
        <v>133</v>
      </c>
      <c r="I44" s="15">
        <v>18</v>
      </c>
      <c r="J44" s="17">
        <v>2400</v>
      </c>
      <c r="K44" s="16">
        <f t="shared" si="1"/>
        <v>133.33333333333334</v>
      </c>
      <c r="L44" s="15">
        <v>18</v>
      </c>
      <c r="M44" s="17">
        <f t="shared" si="28"/>
        <v>2290.9756097560971</v>
      </c>
      <c r="N44" s="16">
        <f t="shared" si="3"/>
        <v>127.27642276422762</v>
      </c>
      <c r="O44" s="18">
        <f t="shared" si="4"/>
        <v>0</v>
      </c>
      <c r="P44" s="19">
        <f t="shared" si="5"/>
        <v>-6.0569105691057246</v>
      </c>
      <c r="Q44" s="20">
        <f t="shared" si="6"/>
        <v>0.95457317073170711</v>
      </c>
      <c r="R44" s="170"/>
      <c r="S44" s="27">
        <v>0.60138888888888875</v>
      </c>
      <c r="T44" s="27">
        <v>0.65833333333333321</v>
      </c>
      <c r="U44" s="4">
        <f t="shared" si="30"/>
        <v>5.9999999999999787</v>
      </c>
      <c r="V44" s="21">
        <f t="shared" si="29"/>
        <v>82.000000000000028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-109.02439024390287</v>
      </c>
      <c r="AF44" s="20">
        <f t="shared" si="9"/>
        <v>0.95457317073170711</v>
      </c>
      <c r="AG44" s="170"/>
    </row>
    <row r="45" spans="1:33">
      <c r="A45" s="189" t="s">
        <v>913</v>
      </c>
      <c r="B45" s="16" t="s">
        <v>912</v>
      </c>
      <c r="C45" s="171"/>
      <c r="D45" s="171"/>
      <c r="E45" s="36"/>
      <c r="F45" s="16"/>
      <c r="G45" s="16"/>
      <c r="H45" s="4"/>
      <c r="I45" s="29">
        <v>17.857142857142858</v>
      </c>
      <c r="J45" s="17">
        <v>2400</v>
      </c>
      <c r="K45" s="16">
        <f t="shared" si="1"/>
        <v>134.4</v>
      </c>
      <c r="L45" s="29">
        <v>17.857142857142858</v>
      </c>
      <c r="M45" s="17">
        <f>AVERAGE(M38:M44)</f>
        <v>2293.8757252751616</v>
      </c>
      <c r="N45" s="16">
        <f t="shared" si="3"/>
        <v>128.45704061540906</v>
      </c>
      <c r="O45" s="18">
        <f t="shared" si="4"/>
        <v>0</v>
      </c>
      <c r="P45" s="19">
        <f t="shared" si="5"/>
        <v>-5.9429593845909494</v>
      </c>
      <c r="Q45" s="20">
        <f t="shared" si="6"/>
        <v>0.955781552197984</v>
      </c>
      <c r="R45" s="170"/>
      <c r="S45" s="27"/>
      <c r="T45" s="27"/>
      <c r="U45" s="16"/>
      <c r="V45" s="21"/>
      <c r="W45" s="16"/>
      <c r="X45" s="16"/>
      <c r="Y45" s="30">
        <f>SUM(Y38:Y44)</f>
        <v>0</v>
      </c>
      <c r="Z45" s="30">
        <f>SUM(Z38:Z44)</f>
        <v>0</v>
      </c>
      <c r="AA45" s="166"/>
      <c r="AB45" s="166"/>
      <c r="AC45" s="30">
        <v>7</v>
      </c>
      <c r="AD45" s="30">
        <f>SUM(AD38:AD44)</f>
        <v>0</v>
      </c>
      <c r="AE45" s="18">
        <f t="shared" si="8"/>
        <v>-106.12427472483841</v>
      </c>
      <c r="AF45" s="20">
        <f t="shared" si="9"/>
        <v>0.955781552197984</v>
      </c>
      <c r="AG45" s="170"/>
    </row>
    <row r="46" spans="1:33" ht="15.75" customHeight="1">
      <c r="A46" s="182" t="s">
        <v>914</v>
      </c>
      <c r="B46" s="35" t="s">
        <v>108</v>
      </c>
      <c r="C46" s="174" t="s">
        <v>109</v>
      </c>
      <c r="D46" s="175"/>
      <c r="E46" s="35">
        <v>34.36</v>
      </c>
      <c r="F46" s="4">
        <v>2543</v>
      </c>
      <c r="G46" s="4">
        <f t="shared" ref="G46:G52" si="31">E46*F46</f>
        <v>87377.48</v>
      </c>
      <c r="H46" s="21" t="s">
        <v>133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ref="M46:M52" si="32">F46/V46*60</f>
        <v>2878.8679245283024</v>
      </c>
      <c r="N46" s="17">
        <f t="shared" si="3"/>
        <v>287.88679245283026</v>
      </c>
      <c r="O46" s="18">
        <f t="shared" si="4"/>
        <v>0</v>
      </c>
      <c r="P46" s="19">
        <f t="shared" si="5"/>
        <v>-12.113207547169736</v>
      </c>
      <c r="Q46" s="20">
        <f t="shared" si="6"/>
        <v>0.95962264150943422</v>
      </c>
      <c r="R46" s="185">
        <f>Q53</f>
        <v>0.95730746258354549</v>
      </c>
      <c r="S46" s="27">
        <v>8.3333333333333329E-2</v>
      </c>
      <c r="T46" s="27">
        <v>0.12013888888888888</v>
      </c>
      <c r="U46" s="27"/>
      <c r="V46" s="21">
        <f t="shared" ref="V46:V52" si="33">(T46-S46)*24*60</f>
        <v>52.999999999999993</v>
      </c>
      <c r="W46" s="22"/>
      <c r="X46" s="22"/>
      <c r="Y46" s="25"/>
      <c r="Z46" s="25"/>
      <c r="AA46" s="176"/>
      <c r="AB46" s="177"/>
      <c r="AC46" s="24">
        <v>7</v>
      </c>
      <c r="AD46" s="24"/>
      <c r="AE46" s="18">
        <f t="shared" si="8"/>
        <v>-121.13207547169759</v>
      </c>
      <c r="AF46" s="20">
        <f t="shared" si="9"/>
        <v>0.9596226415094341</v>
      </c>
      <c r="AG46" s="185">
        <f>AF53</f>
        <v>0.95730746258354549</v>
      </c>
    </row>
    <row r="47" spans="1:33" ht="15.75" customHeight="1">
      <c r="A47" s="183" t="s">
        <v>914</v>
      </c>
      <c r="B47" s="35" t="s">
        <v>108</v>
      </c>
      <c r="C47" s="174" t="s">
        <v>110</v>
      </c>
      <c r="D47" s="175"/>
      <c r="E47" s="35">
        <v>26.78</v>
      </c>
      <c r="F47" s="4">
        <v>3053</v>
      </c>
      <c r="G47" s="4">
        <f t="shared" si="31"/>
        <v>81759.34</v>
      </c>
      <c r="H47" s="21" t="s">
        <v>133</v>
      </c>
      <c r="I47" s="15">
        <v>10</v>
      </c>
      <c r="J47" s="17">
        <v>3000</v>
      </c>
      <c r="K47" s="16">
        <f t="shared" si="1"/>
        <v>300</v>
      </c>
      <c r="L47" s="15">
        <v>10</v>
      </c>
      <c r="M47" s="17">
        <f t="shared" si="32"/>
        <v>2862.1875000000005</v>
      </c>
      <c r="N47" s="17">
        <f t="shared" si="3"/>
        <v>286.21875000000006</v>
      </c>
      <c r="O47" s="18">
        <f t="shared" si="4"/>
        <v>0</v>
      </c>
      <c r="P47" s="19">
        <f t="shared" si="5"/>
        <v>-13.781249999999943</v>
      </c>
      <c r="Q47" s="20">
        <f t="shared" si="6"/>
        <v>0.95406250000000015</v>
      </c>
      <c r="R47" s="186"/>
      <c r="S47" s="27">
        <v>0.12499999999999999</v>
      </c>
      <c r="T47" s="27">
        <v>0.16944444444444443</v>
      </c>
      <c r="U47" s="4">
        <f t="shared" ref="U47:U52" si="34">(S47-T46)*24*60</f>
        <v>6.9999999999999947</v>
      </c>
      <c r="V47" s="21">
        <f t="shared" si="33"/>
        <v>63.999999999999986</v>
      </c>
      <c r="W47" s="22">
        <f>T47</f>
        <v>0.16944444444444443</v>
      </c>
      <c r="X47" s="22">
        <f>S48</f>
        <v>0.19027777777777777</v>
      </c>
      <c r="Y47" s="25"/>
      <c r="Z47" s="25"/>
      <c r="AA47" s="176"/>
      <c r="AB47" s="177"/>
      <c r="AC47" s="24"/>
      <c r="AD47" s="24"/>
      <c r="AE47" s="18">
        <f t="shared" si="8"/>
        <v>-137.81249999999955</v>
      </c>
      <c r="AF47" s="20">
        <f t="shared" si="9"/>
        <v>0.95406250000000015</v>
      </c>
      <c r="AG47" s="186"/>
    </row>
    <row r="48" spans="1:33" ht="15.75" customHeight="1">
      <c r="A48" s="183" t="s">
        <v>914</v>
      </c>
      <c r="B48" s="35" t="s">
        <v>108</v>
      </c>
      <c r="C48" s="174" t="s">
        <v>111</v>
      </c>
      <c r="D48" s="175"/>
      <c r="E48" s="35">
        <v>21.13</v>
      </c>
      <c r="F48" s="4">
        <v>6012</v>
      </c>
      <c r="G48" s="4">
        <f t="shared" si="31"/>
        <v>127033.56</v>
      </c>
      <c r="H48" s="21" t="s">
        <v>133</v>
      </c>
      <c r="I48" s="15">
        <v>10</v>
      </c>
      <c r="J48" s="17">
        <v>3000</v>
      </c>
      <c r="K48" s="16">
        <f t="shared" si="1"/>
        <v>300</v>
      </c>
      <c r="L48" s="15">
        <v>10</v>
      </c>
      <c r="M48" s="17">
        <f t="shared" si="32"/>
        <v>2862.8571428571422</v>
      </c>
      <c r="N48" s="17">
        <f t="shared" si="3"/>
        <v>286.28571428571422</v>
      </c>
      <c r="O48" s="18">
        <f t="shared" si="4"/>
        <v>0</v>
      </c>
      <c r="P48" s="19">
        <f t="shared" si="5"/>
        <v>-13.714285714285779</v>
      </c>
      <c r="Q48" s="20">
        <f t="shared" si="6"/>
        <v>0.95428571428571407</v>
      </c>
      <c r="R48" s="186"/>
      <c r="S48" s="27">
        <v>0.19027777777777777</v>
      </c>
      <c r="T48" s="27">
        <v>0.27777777777777779</v>
      </c>
      <c r="U48" s="4">
        <f t="shared" si="34"/>
        <v>30.000000000000014</v>
      </c>
      <c r="V48" s="21">
        <f t="shared" si="33"/>
        <v>126.00000000000003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-137.14285714285779</v>
      </c>
      <c r="AF48" s="20">
        <f t="shared" si="9"/>
        <v>0.95428571428571407</v>
      </c>
      <c r="AG48" s="186"/>
    </row>
    <row r="49" spans="1:33" ht="15.75" customHeight="1">
      <c r="A49" s="183" t="s">
        <v>914</v>
      </c>
      <c r="B49" s="35" t="s">
        <v>108</v>
      </c>
      <c r="C49" s="174" t="s">
        <v>112</v>
      </c>
      <c r="D49" s="175"/>
      <c r="E49" s="35">
        <v>27.17</v>
      </c>
      <c r="F49" s="4">
        <v>4600</v>
      </c>
      <c r="G49" s="4">
        <f t="shared" si="31"/>
        <v>124982.00000000001</v>
      </c>
      <c r="H49" s="21">
        <v>2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2875.0000000000009</v>
      </c>
      <c r="N49" s="17">
        <f t="shared" si="3"/>
        <v>287.50000000000011</v>
      </c>
      <c r="O49" s="18">
        <f t="shared" si="4"/>
        <v>0</v>
      </c>
      <c r="P49" s="19">
        <f t="shared" si="5"/>
        <v>-12.499999999999886</v>
      </c>
      <c r="Q49" s="20">
        <f t="shared" si="6"/>
        <v>0.9583333333333337</v>
      </c>
      <c r="R49" s="186"/>
      <c r="S49" s="27">
        <v>0.28125</v>
      </c>
      <c r="T49" s="27">
        <v>0.34791666666666665</v>
      </c>
      <c r="U49" s="4">
        <f t="shared" si="34"/>
        <v>4.9999999999999822</v>
      </c>
      <c r="V49" s="21">
        <f t="shared" si="33"/>
        <v>95.999999999999972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-124.99999999999909</v>
      </c>
      <c r="AF49" s="20">
        <f t="shared" si="9"/>
        <v>0.95833333333333359</v>
      </c>
      <c r="AG49" s="186"/>
    </row>
    <row r="50" spans="1:33" ht="15.75" customHeight="1">
      <c r="A50" s="183" t="s">
        <v>914</v>
      </c>
      <c r="B50" s="35" t="s">
        <v>108</v>
      </c>
      <c r="C50" s="174" t="s">
        <v>305</v>
      </c>
      <c r="D50" s="175"/>
      <c r="E50" s="35">
        <v>28.3</v>
      </c>
      <c r="F50" s="4">
        <v>3930</v>
      </c>
      <c r="G50" s="4">
        <f t="shared" si="31"/>
        <v>111219</v>
      </c>
      <c r="H50" s="21" t="s">
        <v>133</v>
      </c>
      <c r="I50" s="15">
        <v>8</v>
      </c>
      <c r="J50" s="17">
        <v>3000</v>
      </c>
      <c r="K50" s="16">
        <f t="shared" si="1"/>
        <v>375</v>
      </c>
      <c r="L50" s="15">
        <v>8</v>
      </c>
      <c r="M50" s="17">
        <f t="shared" si="32"/>
        <v>2875.60975609756</v>
      </c>
      <c r="N50" s="17">
        <f t="shared" si="3"/>
        <v>359.451219512195</v>
      </c>
      <c r="O50" s="18">
        <f t="shared" si="4"/>
        <v>0</v>
      </c>
      <c r="P50" s="19">
        <f t="shared" si="5"/>
        <v>-15.548780487805004</v>
      </c>
      <c r="Q50" s="20">
        <f t="shared" si="6"/>
        <v>0.95853658536585329</v>
      </c>
      <c r="R50" s="186"/>
      <c r="S50" s="27">
        <v>0.35138888888888886</v>
      </c>
      <c r="T50" s="27">
        <v>0.40833333333333333</v>
      </c>
      <c r="U50" s="4">
        <f t="shared" si="34"/>
        <v>4.9999999999999822</v>
      </c>
      <c r="V50" s="21">
        <f t="shared" si="33"/>
        <v>82.000000000000028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-124.39024390244003</v>
      </c>
      <c r="AF50" s="20">
        <f t="shared" si="9"/>
        <v>0.95853658536585329</v>
      </c>
      <c r="AG50" s="186"/>
    </row>
    <row r="51" spans="1:33" ht="15.75" customHeight="1">
      <c r="A51" s="183" t="s">
        <v>914</v>
      </c>
      <c r="B51" s="35" t="s">
        <v>108</v>
      </c>
      <c r="C51" s="174" t="s">
        <v>113</v>
      </c>
      <c r="D51" s="175"/>
      <c r="E51" s="35">
        <v>35.869999999999997</v>
      </c>
      <c r="F51" s="4">
        <v>4562</v>
      </c>
      <c r="G51" s="4">
        <f t="shared" si="31"/>
        <v>163638.94</v>
      </c>
      <c r="H51" s="21" t="s">
        <v>133</v>
      </c>
      <c r="I51" s="15">
        <v>9</v>
      </c>
      <c r="J51" s="17">
        <v>3000</v>
      </c>
      <c r="K51" s="16">
        <f t="shared" si="1"/>
        <v>333.33333333333331</v>
      </c>
      <c r="L51" s="15">
        <v>9</v>
      </c>
      <c r="M51" s="17">
        <f t="shared" si="32"/>
        <v>2881.2631578947371</v>
      </c>
      <c r="N51" s="17">
        <f t="shared" si="3"/>
        <v>320.14035087719299</v>
      </c>
      <c r="O51" s="18">
        <f t="shared" si="4"/>
        <v>0</v>
      </c>
      <c r="P51" s="19">
        <f t="shared" si="5"/>
        <v>-13.192982456140328</v>
      </c>
      <c r="Q51" s="20">
        <f t="shared" si="6"/>
        <v>0.96042105263157906</v>
      </c>
      <c r="R51" s="186"/>
      <c r="S51" s="27">
        <v>0.41319444444444442</v>
      </c>
      <c r="T51" s="27">
        <v>0.47916666666666663</v>
      </c>
      <c r="U51" s="4">
        <f t="shared" si="34"/>
        <v>6.9999999999999751</v>
      </c>
      <c r="V51" s="21">
        <f t="shared" si="33"/>
        <v>94.999999999999986</v>
      </c>
      <c r="W51" s="22">
        <f>T51</f>
        <v>0.47916666666666663</v>
      </c>
      <c r="X51" s="22">
        <f>S52</f>
        <v>0.52083333333333326</v>
      </c>
      <c r="Y51" s="25"/>
      <c r="Z51" s="25"/>
      <c r="AA51" s="176"/>
      <c r="AB51" s="177"/>
      <c r="AC51" s="24"/>
      <c r="AD51" s="24"/>
      <c r="AE51" s="18">
        <f t="shared" si="8"/>
        <v>-118.73684210526289</v>
      </c>
      <c r="AF51" s="20">
        <f t="shared" si="9"/>
        <v>0.96042105263157906</v>
      </c>
      <c r="AG51" s="186"/>
    </row>
    <row r="52" spans="1:33" ht="15.75" customHeight="1">
      <c r="A52" s="183" t="s">
        <v>914</v>
      </c>
      <c r="B52" s="35" t="s">
        <v>108</v>
      </c>
      <c r="C52" s="174" t="s">
        <v>112</v>
      </c>
      <c r="D52" s="175"/>
      <c r="E52" s="35">
        <v>27.17</v>
      </c>
      <c r="F52" s="4">
        <v>3489</v>
      </c>
      <c r="G52" s="4">
        <f t="shared" si="31"/>
        <v>94796.13</v>
      </c>
      <c r="H52" s="21" t="s">
        <v>133</v>
      </c>
      <c r="I52" s="15">
        <v>10</v>
      </c>
      <c r="J52" s="17">
        <v>3000</v>
      </c>
      <c r="K52" s="16">
        <f t="shared" si="1"/>
        <v>300</v>
      </c>
      <c r="L52" s="15">
        <v>10</v>
      </c>
      <c r="M52" s="17">
        <f t="shared" si="32"/>
        <v>2867.6712328767103</v>
      </c>
      <c r="N52" s="17">
        <f t="shared" si="3"/>
        <v>286.76712328767104</v>
      </c>
      <c r="O52" s="18">
        <f t="shared" si="4"/>
        <v>0</v>
      </c>
      <c r="P52" s="19">
        <f t="shared" si="5"/>
        <v>-13.232876712328959</v>
      </c>
      <c r="Q52" s="20">
        <f t="shared" si="6"/>
        <v>0.95589041095890348</v>
      </c>
      <c r="R52" s="186"/>
      <c r="S52" s="27">
        <v>0.52083333333333326</v>
      </c>
      <c r="T52" s="27">
        <v>0.57152777777777775</v>
      </c>
      <c r="U52" s="4">
        <f t="shared" si="34"/>
        <v>59.999999999999943</v>
      </c>
      <c r="V52" s="21">
        <f t="shared" si="33"/>
        <v>73.000000000000057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-132.32876712328971</v>
      </c>
      <c r="AF52" s="20">
        <f t="shared" si="9"/>
        <v>0.95589041095890348</v>
      </c>
      <c r="AG52" s="186"/>
    </row>
    <row r="53" spans="1:33" ht="15.75" customHeight="1">
      <c r="A53" s="184" t="s">
        <v>914</v>
      </c>
      <c r="B53" s="35" t="s">
        <v>912</v>
      </c>
      <c r="C53" s="164"/>
      <c r="D53" s="165"/>
      <c r="E53" s="37"/>
      <c r="F53" s="4"/>
      <c r="G53" s="4"/>
      <c r="H53" s="4"/>
      <c r="I53" s="29">
        <v>9.5714285714285712</v>
      </c>
      <c r="J53" s="17">
        <v>3000</v>
      </c>
      <c r="K53" s="16">
        <f t="shared" si="1"/>
        <v>313.43283582089555</v>
      </c>
      <c r="L53" s="29">
        <v>9.5714285714285712</v>
      </c>
      <c r="M53" s="17">
        <f>AVERAGE(M46:M52)</f>
        <v>2871.9223877506365</v>
      </c>
      <c r="N53" s="16">
        <f t="shared" si="3"/>
        <v>300.0515927500665</v>
      </c>
      <c r="O53" s="18">
        <f t="shared" si="4"/>
        <v>0</v>
      </c>
      <c r="P53" s="19">
        <f t="shared" si="5"/>
        <v>-13.381243070829044</v>
      </c>
      <c r="Q53" s="20">
        <f t="shared" si="6"/>
        <v>0.95730746258354549</v>
      </c>
      <c r="R53" s="187"/>
      <c r="S53" s="27"/>
      <c r="T53" s="27"/>
      <c r="U53" s="4"/>
      <c r="V53" s="21"/>
      <c r="W53" s="22"/>
      <c r="X53" s="22"/>
      <c r="Y53" s="30">
        <f>SUM(Y46:Y52)</f>
        <v>0</v>
      </c>
      <c r="Z53" s="30">
        <f>SUM(Z46:Z52)</f>
        <v>0</v>
      </c>
      <c r="AA53" s="180"/>
      <c r="AB53" s="181"/>
      <c r="AC53" s="30">
        <v>7</v>
      </c>
      <c r="AD53" s="30">
        <f>SUM(AD46:AD52)</f>
        <v>0</v>
      </c>
      <c r="AE53" s="18">
        <f t="shared" si="8"/>
        <v>-128.07761224936348</v>
      </c>
      <c r="AF53" s="20">
        <f t="shared" si="9"/>
        <v>0.95730746258354549</v>
      </c>
      <c r="AG53" s="187"/>
    </row>
    <row r="54" spans="1:33" ht="15.75" customHeight="1">
      <c r="A54" s="178" t="s">
        <v>915</v>
      </c>
      <c r="B54" s="35" t="s">
        <v>84</v>
      </c>
      <c r="C54" s="163" t="s">
        <v>114</v>
      </c>
      <c r="D54" s="163"/>
      <c r="E54" s="35">
        <v>46</v>
      </c>
      <c r="F54" s="38">
        <v>2272</v>
      </c>
      <c r="G54" s="4">
        <f t="shared" ref="G54:G62" si="35">E54*F54</f>
        <v>104512</v>
      </c>
      <c r="H54" s="21" t="s">
        <v>133</v>
      </c>
      <c r="I54" s="15">
        <v>17</v>
      </c>
      <c r="J54" s="17">
        <v>2000</v>
      </c>
      <c r="K54" s="16">
        <f t="shared" si="1"/>
        <v>117.64705882352941</v>
      </c>
      <c r="L54" s="15">
        <v>17</v>
      </c>
      <c r="M54" s="17">
        <f t="shared" ref="M54:M62" si="36">F54/V54*60</f>
        <v>1919.9999999999991</v>
      </c>
      <c r="N54" s="17">
        <f t="shared" si="3"/>
        <v>112.94117647058818</v>
      </c>
      <c r="O54" s="18">
        <f t="shared" si="4"/>
        <v>0</v>
      </c>
      <c r="P54" s="19">
        <f t="shared" si="5"/>
        <v>-4.7058823529412308</v>
      </c>
      <c r="Q54" s="20">
        <f t="shared" si="6"/>
        <v>0.95999999999999952</v>
      </c>
      <c r="R54" s="170">
        <f>Q63</f>
        <v>0.95194561790545607</v>
      </c>
      <c r="S54" s="27">
        <v>0.20833333333333334</v>
      </c>
      <c r="T54" s="27">
        <v>0.25763888888888892</v>
      </c>
      <c r="U54" s="27"/>
      <c r="V54" s="21">
        <f t="shared" ref="V54:V62" si="37">(T54-S54)*24*60</f>
        <v>71.000000000000028</v>
      </c>
      <c r="W54" s="27"/>
      <c r="X54" s="27"/>
      <c r="Y54" s="27"/>
      <c r="Z54" s="27"/>
      <c r="AA54" s="162"/>
      <c r="AB54" s="162"/>
      <c r="AC54" s="24">
        <v>9</v>
      </c>
      <c r="AD54" s="24"/>
      <c r="AE54" s="18">
        <f t="shared" si="8"/>
        <v>-80.000000000000909</v>
      </c>
      <c r="AF54" s="20">
        <f t="shared" si="9"/>
        <v>0.95999999999999952</v>
      </c>
      <c r="AG54" s="170">
        <f>AF63</f>
        <v>0.95194561790545607</v>
      </c>
    </row>
    <row r="55" spans="1:33" ht="15.75" customHeight="1">
      <c r="A55" s="178" t="s">
        <v>915</v>
      </c>
      <c r="B55" s="35" t="s">
        <v>78</v>
      </c>
      <c r="C55" s="163" t="s">
        <v>115</v>
      </c>
      <c r="D55" s="163"/>
      <c r="E55" s="35">
        <v>56.43</v>
      </c>
      <c r="F55" s="38">
        <v>2014</v>
      </c>
      <c r="G55" s="4">
        <f t="shared" si="35"/>
        <v>113650.02</v>
      </c>
      <c r="H55" s="21" t="s">
        <v>133</v>
      </c>
      <c r="I55" s="15">
        <v>22</v>
      </c>
      <c r="J55" s="17">
        <v>2000</v>
      </c>
      <c r="K55" s="16">
        <f t="shared" si="1"/>
        <v>90.909090909090907</v>
      </c>
      <c r="L55" s="15">
        <v>22</v>
      </c>
      <c r="M55" s="17">
        <f t="shared" si="36"/>
        <v>1830.909090909091</v>
      </c>
      <c r="N55" s="17">
        <f t="shared" si="3"/>
        <v>83.223140495867767</v>
      </c>
      <c r="O55" s="18">
        <f t="shared" si="4"/>
        <v>0</v>
      </c>
      <c r="P55" s="19">
        <f t="shared" si="5"/>
        <v>-7.6859504132231393</v>
      </c>
      <c r="Q55" s="20">
        <f t="shared" si="6"/>
        <v>0.91545454545454541</v>
      </c>
      <c r="R55" s="170"/>
      <c r="S55" s="27">
        <v>0.26319444444444445</v>
      </c>
      <c r="T55" s="27">
        <v>0.30902777777777779</v>
      </c>
      <c r="U55" s="4">
        <f t="shared" ref="U55:U62" si="38">IF(S55=TIME(17,0,0),"",(S55-T54)*24*60)</f>
        <v>7.9999999999999716</v>
      </c>
      <c r="V55" s="21">
        <f t="shared" si="37"/>
        <v>66</v>
      </c>
      <c r="W55" s="22"/>
      <c r="X55" s="22"/>
      <c r="Y55" s="22"/>
      <c r="Z55" s="22"/>
      <c r="AA55" s="162"/>
      <c r="AB55" s="162"/>
      <c r="AC55" s="24"/>
      <c r="AD55" s="24"/>
      <c r="AE55" s="18">
        <f t="shared" si="8"/>
        <v>-169.09090909090901</v>
      </c>
      <c r="AF55" s="20">
        <f t="shared" si="9"/>
        <v>0.91545454545454552</v>
      </c>
      <c r="AG55" s="170"/>
    </row>
    <row r="56" spans="1:33" ht="15.75" customHeight="1">
      <c r="A56" s="178" t="s">
        <v>915</v>
      </c>
      <c r="B56" s="35" t="s">
        <v>78</v>
      </c>
      <c r="C56" s="174" t="s">
        <v>116</v>
      </c>
      <c r="D56" s="175"/>
      <c r="E56" s="35">
        <v>51.75</v>
      </c>
      <c r="F56" s="38">
        <v>1504</v>
      </c>
      <c r="G56" s="4">
        <f t="shared" si="35"/>
        <v>77832</v>
      </c>
      <c r="H56" s="21" t="s">
        <v>133</v>
      </c>
      <c r="I56" s="15">
        <v>25</v>
      </c>
      <c r="J56" s="17">
        <v>2000</v>
      </c>
      <c r="K56" s="16">
        <f t="shared" si="1"/>
        <v>80</v>
      </c>
      <c r="L56" s="15">
        <v>25</v>
      </c>
      <c r="M56" s="17">
        <f t="shared" si="36"/>
        <v>1961.7391304347827</v>
      </c>
      <c r="N56" s="17">
        <f t="shared" si="3"/>
        <v>78.469565217391306</v>
      </c>
      <c r="O56" s="18">
        <f t="shared" si="4"/>
        <v>0</v>
      </c>
      <c r="P56" s="19">
        <f t="shared" si="5"/>
        <v>-1.5304347826086939</v>
      </c>
      <c r="Q56" s="20">
        <f t="shared" si="6"/>
        <v>0.98086956521739133</v>
      </c>
      <c r="R56" s="170"/>
      <c r="S56" s="27">
        <v>0.31319444444444444</v>
      </c>
      <c r="T56" s="27">
        <v>0.34513888888888888</v>
      </c>
      <c r="U56" s="4">
        <f t="shared" si="38"/>
        <v>5.9999999999999787</v>
      </c>
      <c r="V56" s="21">
        <f t="shared" si="37"/>
        <v>46</v>
      </c>
      <c r="W56" s="22"/>
      <c r="X56" s="22"/>
      <c r="Y56" s="25"/>
      <c r="Z56" s="25"/>
      <c r="AA56" s="162"/>
      <c r="AB56" s="162"/>
      <c r="AC56" s="24"/>
      <c r="AD56" s="24"/>
      <c r="AE56" s="18">
        <f t="shared" si="8"/>
        <v>-38.260869565217263</v>
      </c>
      <c r="AF56" s="20">
        <f t="shared" si="9"/>
        <v>0.98086956521739133</v>
      </c>
      <c r="AG56" s="170"/>
    </row>
    <row r="57" spans="1:33" ht="15.75" customHeight="1">
      <c r="A57" s="178" t="s">
        <v>915</v>
      </c>
      <c r="B57" s="35" t="s">
        <v>78</v>
      </c>
      <c r="C57" s="39" t="s">
        <v>117</v>
      </c>
      <c r="D57" s="40"/>
      <c r="E57" s="35">
        <v>54.09</v>
      </c>
      <c r="F57" s="38">
        <v>1659</v>
      </c>
      <c r="G57" s="4">
        <f t="shared" si="35"/>
        <v>89735.310000000012</v>
      </c>
      <c r="H57" s="21" t="s">
        <v>133</v>
      </c>
      <c r="I57" s="15">
        <v>19</v>
      </c>
      <c r="J57" s="17">
        <v>2000</v>
      </c>
      <c r="K57" s="16">
        <f t="shared" si="1"/>
        <v>105.26315789473684</v>
      </c>
      <c r="L57" s="15">
        <v>19</v>
      </c>
      <c r="M57" s="17">
        <f t="shared" si="36"/>
        <v>1809.8181818181829</v>
      </c>
      <c r="N57" s="17">
        <f t="shared" si="3"/>
        <v>95.253588516746461</v>
      </c>
      <c r="O57" s="18">
        <f t="shared" si="4"/>
        <v>0</v>
      </c>
      <c r="P57" s="19">
        <f t="shared" si="5"/>
        <v>-10.009569377990374</v>
      </c>
      <c r="Q57" s="20">
        <f t="shared" si="6"/>
        <v>0.90490909090909144</v>
      </c>
      <c r="R57" s="170"/>
      <c r="S57" s="27">
        <v>0.35069444444444442</v>
      </c>
      <c r="T57" s="27">
        <v>0.38888888888888884</v>
      </c>
      <c r="U57" s="4">
        <f t="shared" si="38"/>
        <v>7.9999999999999716</v>
      </c>
      <c r="V57" s="21">
        <f t="shared" si="37"/>
        <v>54.999999999999964</v>
      </c>
      <c r="W57" s="22"/>
      <c r="X57" s="22"/>
      <c r="Y57" s="25"/>
      <c r="Z57" s="25"/>
      <c r="AA57" s="162"/>
      <c r="AB57" s="162"/>
      <c r="AC57" s="24"/>
      <c r="AD57" s="24"/>
      <c r="AE57" s="18">
        <f t="shared" si="8"/>
        <v>-190.18181818181711</v>
      </c>
      <c r="AF57" s="20">
        <f t="shared" si="9"/>
        <v>0.90490909090909144</v>
      </c>
      <c r="AG57" s="170"/>
    </row>
    <row r="58" spans="1:33" ht="15.75" customHeight="1">
      <c r="A58" s="178" t="s">
        <v>915</v>
      </c>
      <c r="B58" s="35" t="s">
        <v>78</v>
      </c>
      <c r="C58" s="39" t="s">
        <v>118</v>
      </c>
      <c r="D58" s="40"/>
      <c r="E58" s="35">
        <v>57.73</v>
      </c>
      <c r="F58" s="38">
        <v>1217</v>
      </c>
      <c r="G58" s="4">
        <f t="shared" si="35"/>
        <v>70257.409999999989</v>
      </c>
      <c r="H58" s="21" t="s">
        <v>133</v>
      </c>
      <c r="I58" s="15">
        <v>16</v>
      </c>
      <c r="J58" s="17">
        <v>1500</v>
      </c>
      <c r="K58" s="16">
        <f t="shared" si="1"/>
        <v>93.75</v>
      </c>
      <c r="L58" s="15">
        <v>16</v>
      </c>
      <c r="M58" s="17">
        <f t="shared" si="36"/>
        <v>1431.7647058823536</v>
      </c>
      <c r="N58" s="17">
        <f t="shared" si="3"/>
        <v>89.485294117647101</v>
      </c>
      <c r="O58" s="18">
        <f t="shared" si="4"/>
        <v>0</v>
      </c>
      <c r="P58" s="19">
        <f t="shared" si="5"/>
        <v>-4.2647058823528994</v>
      </c>
      <c r="Q58" s="20">
        <f t="shared" si="6"/>
        <v>0.95450980392156903</v>
      </c>
      <c r="R58" s="170"/>
      <c r="S58" s="27">
        <v>0.70833333333333337</v>
      </c>
      <c r="T58" s="27">
        <v>0.74375000000000002</v>
      </c>
      <c r="U58" s="4" t="str">
        <f t="shared" si="38"/>
        <v/>
      </c>
      <c r="V58" s="21">
        <f t="shared" si="37"/>
        <v>50.999999999999979</v>
      </c>
      <c r="W58" s="22"/>
      <c r="X58" s="22"/>
      <c r="Y58" s="25"/>
      <c r="Z58" s="25"/>
      <c r="AA58" s="162"/>
      <c r="AB58" s="162"/>
      <c r="AC58" s="24"/>
      <c r="AD58" s="24"/>
      <c r="AE58" s="18">
        <f t="shared" si="8"/>
        <v>-68.23529411764639</v>
      </c>
      <c r="AF58" s="20">
        <f t="shared" si="9"/>
        <v>0.95450980392156903</v>
      </c>
      <c r="AG58" s="170"/>
    </row>
    <row r="59" spans="1:33" ht="15.75" customHeight="1">
      <c r="A59" s="178" t="s">
        <v>915</v>
      </c>
      <c r="B59" s="35" t="s">
        <v>78</v>
      </c>
      <c r="C59" s="174" t="s">
        <v>119</v>
      </c>
      <c r="D59" s="175"/>
      <c r="E59" s="35">
        <v>54.29</v>
      </c>
      <c r="F59" s="38">
        <v>1408</v>
      </c>
      <c r="G59" s="4">
        <f t="shared" si="35"/>
        <v>76440.319999999992</v>
      </c>
      <c r="H59" s="21" t="s">
        <v>133</v>
      </c>
      <c r="I59" s="15">
        <v>20</v>
      </c>
      <c r="J59" s="17">
        <v>2000</v>
      </c>
      <c r="K59" s="16">
        <f t="shared" si="1"/>
        <v>100</v>
      </c>
      <c r="L59" s="15">
        <v>20</v>
      </c>
      <c r="M59" s="17">
        <f t="shared" si="36"/>
        <v>1920</v>
      </c>
      <c r="N59" s="17">
        <f t="shared" si="3"/>
        <v>96</v>
      </c>
      <c r="O59" s="18">
        <f t="shared" si="4"/>
        <v>0</v>
      </c>
      <c r="P59" s="19">
        <f t="shared" si="5"/>
        <v>-4</v>
      </c>
      <c r="Q59" s="20">
        <f t="shared" si="6"/>
        <v>0.96</v>
      </c>
      <c r="R59" s="170"/>
      <c r="S59" s="27">
        <v>0.74861111111111112</v>
      </c>
      <c r="T59" s="27">
        <v>0.77916666666666667</v>
      </c>
      <c r="U59" s="4">
        <f t="shared" si="38"/>
        <v>6.9999999999999751</v>
      </c>
      <c r="V59" s="21">
        <f t="shared" si="37"/>
        <v>44</v>
      </c>
      <c r="W59" s="22"/>
      <c r="X59" s="22"/>
      <c r="Y59" s="25"/>
      <c r="Z59" s="25"/>
      <c r="AA59" s="176"/>
      <c r="AB59" s="177"/>
      <c r="AC59" s="24"/>
      <c r="AD59" s="24"/>
      <c r="AE59" s="18">
        <f t="shared" si="8"/>
        <v>-80</v>
      </c>
      <c r="AF59" s="20">
        <f t="shared" si="9"/>
        <v>0.96</v>
      </c>
      <c r="AG59" s="170"/>
    </row>
    <row r="60" spans="1:33" ht="15.75" customHeight="1">
      <c r="A60" s="178" t="s">
        <v>915</v>
      </c>
      <c r="B60" s="35" t="s">
        <v>78</v>
      </c>
      <c r="C60" s="174" t="s">
        <v>120</v>
      </c>
      <c r="D60" s="175"/>
      <c r="E60" s="35">
        <v>55.56</v>
      </c>
      <c r="F60" s="38">
        <v>1000</v>
      </c>
      <c r="G60" s="4">
        <f t="shared" si="35"/>
        <v>55560</v>
      </c>
      <c r="H60" s="21">
        <v>2</v>
      </c>
      <c r="I60" s="15">
        <v>17</v>
      </c>
      <c r="J60" s="17">
        <v>2000</v>
      </c>
      <c r="K60" s="16">
        <f t="shared" si="1"/>
        <v>117.64705882352941</v>
      </c>
      <c r="L60" s="15">
        <v>17</v>
      </c>
      <c r="M60" s="17">
        <f t="shared" si="36"/>
        <v>1935.483870967739</v>
      </c>
      <c r="N60" s="17">
        <f t="shared" si="3"/>
        <v>113.85199240986699</v>
      </c>
      <c r="O60" s="18">
        <f t="shared" si="4"/>
        <v>0</v>
      </c>
      <c r="P60" s="19">
        <f t="shared" si="5"/>
        <v>-3.7950664136624113</v>
      </c>
      <c r="Q60" s="20">
        <f t="shared" si="6"/>
        <v>0.96774193548386955</v>
      </c>
      <c r="R60" s="170"/>
      <c r="S60" s="27">
        <v>0.78333333333333333</v>
      </c>
      <c r="T60" s="27">
        <v>0.80486111111111114</v>
      </c>
      <c r="U60" s="4">
        <f t="shared" si="38"/>
        <v>5.9999999999999787</v>
      </c>
      <c r="V60" s="21">
        <f t="shared" si="37"/>
        <v>31.00000000000005</v>
      </c>
      <c r="W60" s="22"/>
      <c r="X60" s="22"/>
      <c r="Y60" s="25"/>
      <c r="Z60" s="25"/>
      <c r="AA60" s="176"/>
      <c r="AB60" s="177"/>
      <c r="AC60" s="24"/>
      <c r="AD60" s="24"/>
      <c r="AE60" s="18">
        <f t="shared" si="8"/>
        <v>-64.516129032261006</v>
      </c>
      <c r="AF60" s="20">
        <f t="shared" si="9"/>
        <v>0.96774193548386944</v>
      </c>
      <c r="AG60" s="170"/>
    </row>
    <row r="61" spans="1:33" ht="15.75" customHeight="1">
      <c r="A61" s="178" t="s">
        <v>915</v>
      </c>
      <c r="B61" s="35" t="s">
        <v>78</v>
      </c>
      <c r="C61" s="174" t="s">
        <v>121</v>
      </c>
      <c r="D61" s="175"/>
      <c r="E61" s="35">
        <v>55.32</v>
      </c>
      <c r="F61" s="38">
        <v>1605</v>
      </c>
      <c r="G61" s="4">
        <f t="shared" si="35"/>
        <v>88788.6</v>
      </c>
      <c r="H61" s="21" t="s">
        <v>133</v>
      </c>
      <c r="I61" s="15">
        <v>15</v>
      </c>
      <c r="J61" s="17">
        <v>2000</v>
      </c>
      <c r="K61" s="16">
        <f t="shared" si="1"/>
        <v>133.33333333333334</v>
      </c>
      <c r="L61" s="15">
        <v>15</v>
      </c>
      <c r="M61" s="17">
        <f t="shared" si="36"/>
        <v>1926.0000000000005</v>
      </c>
      <c r="N61" s="17">
        <f t="shared" si="3"/>
        <v>128.40000000000003</v>
      </c>
      <c r="O61" s="18">
        <f t="shared" si="4"/>
        <v>0</v>
      </c>
      <c r="P61" s="19">
        <f t="shared" si="5"/>
        <v>-4.9333333333333087</v>
      </c>
      <c r="Q61" s="20">
        <f t="shared" si="6"/>
        <v>0.96300000000000019</v>
      </c>
      <c r="R61" s="170"/>
      <c r="S61" s="27">
        <v>0.80833333333333335</v>
      </c>
      <c r="T61" s="27">
        <v>0.84305555555555556</v>
      </c>
      <c r="U61" s="4">
        <f t="shared" si="38"/>
        <v>4.9999999999999822</v>
      </c>
      <c r="V61" s="21">
        <f t="shared" si="37"/>
        <v>49.999999999999986</v>
      </c>
      <c r="W61" s="22">
        <f>T61</f>
        <v>0.84305555555555556</v>
      </c>
      <c r="X61" s="22">
        <f>S62</f>
        <v>0.88472222222222219</v>
      </c>
      <c r="Y61" s="25"/>
      <c r="Z61" s="25"/>
      <c r="AA61" s="176"/>
      <c r="AB61" s="177"/>
      <c r="AC61" s="24"/>
      <c r="AD61" s="24"/>
      <c r="AE61" s="18">
        <f t="shared" si="8"/>
        <v>-73.999999999999545</v>
      </c>
      <c r="AF61" s="20">
        <f t="shared" si="9"/>
        <v>0.96300000000000019</v>
      </c>
      <c r="AG61" s="170"/>
    </row>
    <row r="62" spans="1:33">
      <c r="A62" s="178" t="s">
        <v>915</v>
      </c>
      <c r="B62" s="35" t="s">
        <v>78</v>
      </c>
      <c r="C62" s="174" t="s">
        <v>120</v>
      </c>
      <c r="D62" s="175"/>
      <c r="E62" s="35">
        <v>55.56</v>
      </c>
      <c r="F62" s="38">
        <v>1154</v>
      </c>
      <c r="G62" s="4">
        <f t="shared" si="35"/>
        <v>64116.240000000005</v>
      </c>
      <c r="H62" s="21" t="s">
        <v>133</v>
      </c>
      <c r="I62" s="15">
        <v>17</v>
      </c>
      <c r="J62" s="17">
        <v>2000</v>
      </c>
      <c r="K62" s="16">
        <f t="shared" si="1"/>
        <v>117.64705882352941</v>
      </c>
      <c r="L62" s="15">
        <v>17</v>
      </c>
      <c r="M62" s="17">
        <f t="shared" si="36"/>
        <v>1923.3333333333317</v>
      </c>
      <c r="N62" s="17">
        <f t="shared" si="3"/>
        <v>113.13725490196069</v>
      </c>
      <c r="O62" s="18">
        <f t="shared" si="4"/>
        <v>0</v>
      </c>
      <c r="P62" s="19">
        <f t="shared" si="5"/>
        <v>-4.509803921568718</v>
      </c>
      <c r="Q62" s="20">
        <f t="shared" si="6"/>
        <v>0.96166666666666589</v>
      </c>
      <c r="R62" s="170"/>
      <c r="S62" s="27">
        <v>0.88472222222222219</v>
      </c>
      <c r="T62" s="27">
        <v>0.90972222222222221</v>
      </c>
      <c r="U62" s="4">
        <f t="shared" si="38"/>
        <v>59.999999999999943</v>
      </c>
      <c r="V62" s="21">
        <f t="shared" si="37"/>
        <v>36.000000000000028</v>
      </c>
      <c r="W62" s="22"/>
      <c r="X62" s="22"/>
      <c r="Y62" s="25"/>
      <c r="Z62" s="25"/>
      <c r="AA62" s="176"/>
      <c r="AB62" s="177"/>
      <c r="AC62" s="24"/>
      <c r="AD62" s="24"/>
      <c r="AE62" s="18">
        <f t="shared" si="8"/>
        <v>-76.666666666668334</v>
      </c>
      <c r="AF62" s="20">
        <f t="shared" si="9"/>
        <v>0.96166666666666578</v>
      </c>
      <c r="AG62" s="170"/>
    </row>
    <row r="63" spans="1:33">
      <c r="A63" s="179" t="s">
        <v>915</v>
      </c>
      <c r="B63" s="35" t="s">
        <v>912</v>
      </c>
      <c r="C63" s="171"/>
      <c r="D63" s="171"/>
      <c r="E63" s="36"/>
      <c r="F63" s="16"/>
      <c r="G63" s="16"/>
      <c r="H63" s="4"/>
      <c r="I63" s="29">
        <v>18.666666666666668</v>
      </c>
      <c r="J63" s="17">
        <v>1944.4444444444443</v>
      </c>
      <c r="K63" s="16">
        <f t="shared" si="1"/>
        <v>104.16666666666666</v>
      </c>
      <c r="L63" s="29">
        <v>18.666666666666668</v>
      </c>
      <c r="M63" s="17">
        <f>AVERAGE(M54:M62)</f>
        <v>1851.0053681494978</v>
      </c>
      <c r="N63" s="16">
        <f t="shared" si="3"/>
        <v>99.161001865151661</v>
      </c>
      <c r="O63" s="18">
        <f t="shared" si="4"/>
        <v>0</v>
      </c>
      <c r="P63" s="19">
        <f t="shared" si="5"/>
        <v>-5.005664801514996</v>
      </c>
      <c r="Q63" s="20">
        <f t="shared" si="6"/>
        <v>0.95194561790545607</v>
      </c>
      <c r="R63" s="170"/>
      <c r="S63" s="27"/>
      <c r="T63" s="27"/>
      <c r="U63" s="4"/>
      <c r="V63" s="21"/>
      <c r="W63" s="16"/>
      <c r="X63" s="16"/>
      <c r="Y63" s="30">
        <f>SUM(Y54:Y62)</f>
        <v>0</v>
      </c>
      <c r="Z63" s="30">
        <f>SUM(Z54:Z62)</f>
        <v>0</v>
      </c>
      <c r="AA63" s="166"/>
      <c r="AB63" s="166"/>
      <c r="AC63" s="30">
        <v>9</v>
      </c>
      <c r="AD63" s="30">
        <f>SUM(AD54:AD62)</f>
        <v>0</v>
      </c>
      <c r="AE63" s="18">
        <f>M63-J63</f>
        <v>-93.439076294946517</v>
      </c>
      <c r="AF63" s="20">
        <f t="shared" si="9"/>
        <v>0.95194561790545607</v>
      </c>
      <c r="AG63" s="170"/>
    </row>
    <row r="64" spans="1:33" ht="15.75" customHeight="1">
      <c r="A64" s="172" t="s">
        <v>916</v>
      </c>
      <c r="B64" s="4" t="s">
        <v>84</v>
      </c>
      <c r="C64" s="163" t="s">
        <v>122</v>
      </c>
      <c r="D64" s="163"/>
      <c r="E64" s="35">
        <v>26.97</v>
      </c>
      <c r="F64" s="38">
        <v>3287</v>
      </c>
      <c r="G64" s="4">
        <f t="shared" ref="G64:G67" si="39">E64*F64</f>
        <v>88650.39</v>
      </c>
      <c r="H64" s="21" t="s">
        <v>133</v>
      </c>
      <c r="I64" s="15">
        <v>8</v>
      </c>
      <c r="J64" s="17">
        <v>1500</v>
      </c>
      <c r="K64" s="16">
        <f t="shared" si="1"/>
        <v>187.5</v>
      </c>
      <c r="L64" s="15">
        <v>8</v>
      </c>
      <c r="M64" s="17">
        <f t="shared" ref="M64:M67" si="40">F64/V64*60</f>
        <v>1429.1304347826081</v>
      </c>
      <c r="N64" s="16">
        <f t="shared" si="3"/>
        <v>178.64130434782601</v>
      </c>
      <c r="O64" s="18">
        <f t="shared" si="4"/>
        <v>0</v>
      </c>
      <c r="P64" s="19">
        <f t="shared" si="5"/>
        <v>-8.8586956521739921</v>
      </c>
      <c r="Q64" s="20">
        <f t="shared" si="6"/>
        <v>0.9527536231884054</v>
      </c>
      <c r="R64" s="170">
        <f>Q68</f>
        <v>0.95719016538381518</v>
      </c>
      <c r="S64" s="27">
        <v>0.20833333333333334</v>
      </c>
      <c r="T64" s="27">
        <v>0.3041666666666667</v>
      </c>
      <c r="U64" s="4"/>
      <c r="V64" s="21">
        <f t="shared" ref="V64:V67" si="41">(T64-S64)*24*60</f>
        <v>138.00000000000006</v>
      </c>
      <c r="W64" s="27"/>
      <c r="X64" s="27"/>
      <c r="Y64" s="27"/>
      <c r="Z64" s="27"/>
      <c r="AA64" s="162"/>
      <c r="AB64" s="162"/>
      <c r="AC64" s="24">
        <v>4</v>
      </c>
      <c r="AD64" s="24"/>
      <c r="AE64" s="18">
        <f t="shared" ref="AE64:AE73" si="42">M64-J64</f>
        <v>-70.869565217391937</v>
      </c>
      <c r="AF64" s="20">
        <f t="shared" si="9"/>
        <v>0.9527536231884054</v>
      </c>
      <c r="AG64" s="170">
        <f>AF68</f>
        <v>0.95719016538381518</v>
      </c>
    </row>
    <row r="65" spans="1:33" ht="15.75" customHeight="1">
      <c r="A65" s="172" t="s">
        <v>917</v>
      </c>
      <c r="B65" s="4" t="s">
        <v>108</v>
      </c>
      <c r="C65" s="163" t="s">
        <v>125</v>
      </c>
      <c r="D65" s="163"/>
      <c r="E65" s="35">
        <v>37.85</v>
      </c>
      <c r="F65" s="38">
        <v>2035</v>
      </c>
      <c r="G65" s="4">
        <f t="shared" si="39"/>
        <v>77024.75</v>
      </c>
      <c r="H65" s="21" t="s">
        <v>133</v>
      </c>
      <c r="I65" s="15">
        <v>12</v>
      </c>
      <c r="J65" s="17">
        <v>2000</v>
      </c>
      <c r="K65" s="16">
        <f t="shared" si="1"/>
        <v>166.66666666666666</v>
      </c>
      <c r="L65" s="15">
        <v>12</v>
      </c>
      <c r="M65" s="17">
        <f t="shared" si="40"/>
        <v>1907.8124999999995</v>
      </c>
      <c r="N65" s="16">
        <f t="shared" si="3"/>
        <v>158.98437499999997</v>
      </c>
      <c r="O65" s="18">
        <f t="shared" si="4"/>
        <v>0</v>
      </c>
      <c r="P65" s="19">
        <f t="shared" si="5"/>
        <v>-7.6822916666666856</v>
      </c>
      <c r="Q65" s="20">
        <f t="shared" si="6"/>
        <v>0.95390624999999984</v>
      </c>
      <c r="R65" s="170"/>
      <c r="S65" s="27">
        <v>0.30902777777777779</v>
      </c>
      <c r="T65" s="27">
        <v>0.35347222222222224</v>
      </c>
      <c r="U65" s="4">
        <f t="shared" ref="U65:U67" si="43">(S65-T64)*24*60</f>
        <v>6.9999999999999751</v>
      </c>
      <c r="V65" s="21">
        <f t="shared" si="41"/>
        <v>64.000000000000014</v>
      </c>
      <c r="W65" s="4"/>
      <c r="X65" s="4"/>
      <c r="Y65" s="4"/>
      <c r="Z65" s="4"/>
      <c r="AA65" s="162"/>
      <c r="AB65" s="162"/>
      <c r="AC65" s="24"/>
      <c r="AD65" s="24"/>
      <c r="AE65" s="18">
        <f t="shared" si="42"/>
        <v>-92.187500000000455</v>
      </c>
      <c r="AF65" s="20">
        <f t="shared" si="9"/>
        <v>0.95390624999999973</v>
      </c>
      <c r="AG65" s="170"/>
    </row>
    <row r="66" spans="1:33" ht="15.75" customHeight="1">
      <c r="A66" s="172" t="s">
        <v>917</v>
      </c>
      <c r="B66" s="4" t="s">
        <v>108</v>
      </c>
      <c r="C66" s="163" t="s">
        <v>126</v>
      </c>
      <c r="D66" s="163"/>
      <c r="E66" s="35">
        <v>34.36</v>
      </c>
      <c r="F66" s="38">
        <v>2118</v>
      </c>
      <c r="G66" s="4">
        <f t="shared" si="39"/>
        <v>72774.48</v>
      </c>
      <c r="H66" s="21" t="s">
        <v>133</v>
      </c>
      <c r="I66" s="15">
        <v>10</v>
      </c>
      <c r="J66" s="17">
        <v>3000</v>
      </c>
      <c r="K66" s="16">
        <f t="shared" si="1"/>
        <v>300</v>
      </c>
      <c r="L66" s="15">
        <v>10</v>
      </c>
      <c r="M66" s="17">
        <f t="shared" si="40"/>
        <v>2888.181818181818</v>
      </c>
      <c r="N66" s="16">
        <f t="shared" si="3"/>
        <v>288.81818181818181</v>
      </c>
      <c r="O66" s="18">
        <f t="shared" si="4"/>
        <v>0</v>
      </c>
      <c r="P66" s="19">
        <f t="shared" si="5"/>
        <v>-11.181818181818187</v>
      </c>
      <c r="Q66" s="20">
        <f t="shared" si="6"/>
        <v>0.96272727272727276</v>
      </c>
      <c r="R66" s="170"/>
      <c r="S66" s="27">
        <v>0.3576388888888889</v>
      </c>
      <c r="T66" s="27">
        <v>0.38819444444444445</v>
      </c>
      <c r="U66" s="4">
        <f t="shared" si="43"/>
        <v>5.9999999999999787</v>
      </c>
      <c r="V66" s="21">
        <f t="shared" si="41"/>
        <v>44</v>
      </c>
      <c r="W66" s="4"/>
      <c r="X66" s="4"/>
      <c r="Y66" s="4"/>
      <c r="Z66" s="4"/>
      <c r="AA66" s="162"/>
      <c r="AB66" s="162"/>
      <c r="AC66" s="24"/>
      <c r="AD66" s="24"/>
      <c r="AE66" s="18">
        <f t="shared" si="42"/>
        <v>-111.81818181818198</v>
      </c>
      <c r="AF66" s="20">
        <f t="shared" si="9"/>
        <v>0.96272727272727265</v>
      </c>
      <c r="AG66" s="170"/>
    </row>
    <row r="67" spans="1:33" ht="15.75" customHeight="1">
      <c r="A67" s="172" t="s">
        <v>917</v>
      </c>
      <c r="B67" s="4" t="s">
        <v>108</v>
      </c>
      <c r="C67" s="163" t="s">
        <v>127</v>
      </c>
      <c r="D67" s="163"/>
      <c r="E67" s="35">
        <v>35.119999999999997</v>
      </c>
      <c r="F67" s="38">
        <v>6310</v>
      </c>
      <c r="G67" s="4">
        <f t="shared" si="39"/>
        <v>221607.19999999998</v>
      </c>
      <c r="H67" s="21" t="s">
        <v>133</v>
      </c>
      <c r="I67" s="15">
        <v>10</v>
      </c>
      <c r="J67" s="17">
        <v>3000</v>
      </c>
      <c r="K67" s="16">
        <f t="shared" si="1"/>
        <v>300</v>
      </c>
      <c r="L67" s="15">
        <v>10</v>
      </c>
      <c r="M67" s="17">
        <f t="shared" si="40"/>
        <v>2868.1818181818185</v>
      </c>
      <c r="N67" s="16">
        <f t="shared" si="3"/>
        <v>286.81818181818187</v>
      </c>
      <c r="O67" s="18">
        <f t="shared" si="4"/>
        <v>0</v>
      </c>
      <c r="P67" s="19">
        <f t="shared" si="5"/>
        <v>-13.18181818181813</v>
      </c>
      <c r="Q67" s="20">
        <f t="shared" si="6"/>
        <v>0.95606060606060628</v>
      </c>
      <c r="R67" s="170"/>
      <c r="S67" s="27">
        <v>0.39305555555555555</v>
      </c>
      <c r="T67" s="27">
        <v>0.48472222222222222</v>
      </c>
      <c r="U67" s="4">
        <f t="shared" si="43"/>
        <v>6.9999999999999751</v>
      </c>
      <c r="V67" s="21">
        <f t="shared" si="41"/>
        <v>132</v>
      </c>
      <c r="W67" s="4"/>
      <c r="X67" s="4"/>
      <c r="Y67" s="4"/>
      <c r="Z67" s="4"/>
      <c r="AA67" s="162"/>
      <c r="AB67" s="162"/>
      <c r="AC67" s="24"/>
      <c r="AD67" s="24"/>
      <c r="AE67" s="18">
        <f t="shared" si="42"/>
        <v>-131.81818181818153</v>
      </c>
      <c r="AF67" s="20">
        <f t="shared" si="9"/>
        <v>0.95606060606060617</v>
      </c>
      <c r="AG67" s="170"/>
    </row>
    <row r="68" spans="1:33">
      <c r="A68" s="173" t="s">
        <v>602</v>
      </c>
      <c r="B68" s="35" t="s">
        <v>48</v>
      </c>
      <c r="C68" s="171"/>
      <c r="D68" s="171"/>
      <c r="E68" s="36"/>
      <c r="F68" s="16"/>
      <c r="G68" s="16"/>
      <c r="H68" s="4"/>
      <c r="I68" s="29">
        <v>10</v>
      </c>
      <c r="J68" s="17">
        <v>2375</v>
      </c>
      <c r="K68" s="16">
        <f t="shared" si="1"/>
        <v>237.5</v>
      </c>
      <c r="L68" s="29">
        <v>10</v>
      </c>
      <c r="M68" s="17">
        <f>AVERAGE(M64:M67)</f>
        <v>2273.326642786561</v>
      </c>
      <c r="N68" s="16">
        <f t="shared" si="3"/>
        <v>227.3326642786561</v>
      </c>
      <c r="O68" s="18">
        <f t="shared" si="4"/>
        <v>0</v>
      </c>
      <c r="P68" s="19">
        <f t="shared" si="5"/>
        <v>-10.167335721343903</v>
      </c>
      <c r="Q68" s="20">
        <f t="shared" si="6"/>
        <v>0.95719016538381518</v>
      </c>
      <c r="R68" s="170"/>
      <c r="S68" s="27"/>
      <c r="T68" s="27"/>
      <c r="U68" s="16"/>
      <c r="V68" s="21"/>
      <c r="W68" s="16"/>
      <c r="X68" s="16"/>
      <c r="Y68" s="30">
        <f>SUM(Y64:Y67)</f>
        <v>0</v>
      </c>
      <c r="Z68" s="30">
        <f>SUM(Z64:Z67)</f>
        <v>0</v>
      </c>
      <c r="AA68" s="166"/>
      <c r="AB68" s="166"/>
      <c r="AC68" s="30">
        <v>4</v>
      </c>
      <c r="AD68" s="30">
        <f>SUM(AD64:AD67)</f>
        <v>0</v>
      </c>
      <c r="AE68" s="18">
        <f t="shared" si="42"/>
        <v>-101.67335721343898</v>
      </c>
      <c r="AF68" s="20">
        <f t="shared" si="9"/>
        <v>0.95719016538381518</v>
      </c>
      <c r="AG68" s="170"/>
    </row>
    <row r="69" spans="1:33" ht="15.75" customHeight="1">
      <c r="A69" s="167" t="s">
        <v>918</v>
      </c>
      <c r="B69" s="4" t="s">
        <v>97</v>
      </c>
      <c r="C69" s="163" t="s">
        <v>128</v>
      </c>
      <c r="D69" s="163"/>
      <c r="E69" s="35">
        <v>20.2</v>
      </c>
      <c r="F69" s="4">
        <v>2781</v>
      </c>
      <c r="G69" s="4">
        <f t="shared" ref="G69:G72" si="44">E69*F69</f>
        <v>56176.2</v>
      </c>
      <c r="H69" s="21" t="s">
        <v>133</v>
      </c>
      <c r="I69" s="15">
        <v>15</v>
      </c>
      <c r="J69" s="17">
        <v>2400</v>
      </c>
      <c r="K69" s="16">
        <f t="shared" ref="K69:K73" si="45">J69/I69</f>
        <v>160</v>
      </c>
      <c r="L69" s="15">
        <v>15</v>
      </c>
      <c r="M69" s="17">
        <f t="shared" ref="M69:M72" si="46">F69/V69*60</f>
        <v>2285.7534246575342</v>
      </c>
      <c r="N69" s="16">
        <f t="shared" ref="N69:N73" si="47">M69/L69</f>
        <v>152.38356164383561</v>
      </c>
      <c r="O69" s="18">
        <f t="shared" ref="O69:O73" si="48">L69-I69</f>
        <v>0</v>
      </c>
      <c r="P69" s="19">
        <f t="shared" ref="P69:P73" si="49">N69-K69</f>
        <v>-7.6164383561643945</v>
      </c>
      <c r="Q69" s="20">
        <f t="shared" ref="Q69:Q73" si="50">N69/K69</f>
        <v>0.95239726027397253</v>
      </c>
      <c r="R69" s="170">
        <f>Q73</f>
        <v>0.95241334066158845</v>
      </c>
      <c r="S69" s="27">
        <v>8.3333333333333329E-2</v>
      </c>
      <c r="T69" s="27">
        <v>0.13402777777777777</v>
      </c>
      <c r="U69" s="27"/>
      <c r="V69" s="21">
        <f t="shared" ref="V69:V72" si="51">(T69-S69)*24*60</f>
        <v>73</v>
      </c>
      <c r="W69" s="22">
        <f>T69</f>
        <v>0.13402777777777777</v>
      </c>
      <c r="X69" s="22">
        <f>S70</f>
        <v>0.15277777777777779</v>
      </c>
      <c r="Y69" s="22"/>
      <c r="Z69" s="22"/>
      <c r="AA69" s="162"/>
      <c r="AB69" s="162"/>
      <c r="AC69" s="24">
        <v>4</v>
      </c>
      <c r="AD69" s="24"/>
      <c r="AE69" s="18">
        <f t="shared" si="42"/>
        <v>-114.2465753424658</v>
      </c>
      <c r="AF69" s="20">
        <f t="shared" ref="AF69:AF73" si="52">M69/J69</f>
        <v>0.95239726027397253</v>
      </c>
      <c r="AG69" s="170">
        <f>AF73</f>
        <v>0.95241334066158856</v>
      </c>
    </row>
    <row r="70" spans="1:33" ht="15.75" customHeight="1">
      <c r="A70" s="168" t="s">
        <v>919</v>
      </c>
      <c r="B70" s="4" t="s">
        <v>97</v>
      </c>
      <c r="C70" s="163" t="s">
        <v>129</v>
      </c>
      <c r="D70" s="163"/>
      <c r="E70" s="35">
        <v>24.45</v>
      </c>
      <c r="F70" s="4">
        <v>2931</v>
      </c>
      <c r="G70" s="4">
        <f t="shared" si="44"/>
        <v>71662.95</v>
      </c>
      <c r="H70" s="21" t="s">
        <v>133</v>
      </c>
      <c r="I70" s="15">
        <v>19</v>
      </c>
      <c r="J70" s="17">
        <v>2400</v>
      </c>
      <c r="K70" s="16">
        <f t="shared" si="45"/>
        <v>126.31578947368421</v>
      </c>
      <c r="L70" s="15">
        <v>19</v>
      </c>
      <c r="M70" s="17">
        <f t="shared" si="46"/>
        <v>2283.8961038961038</v>
      </c>
      <c r="N70" s="16">
        <f t="shared" si="47"/>
        <v>120.20505809979494</v>
      </c>
      <c r="O70" s="18">
        <f t="shared" si="48"/>
        <v>0</v>
      </c>
      <c r="P70" s="19">
        <f t="shared" si="49"/>
        <v>-6.1107313738892657</v>
      </c>
      <c r="Q70" s="20">
        <f t="shared" si="50"/>
        <v>0.95162337662337659</v>
      </c>
      <c r="R70" s="170"/>
      <c r="S70" s="27">
        <v>0.15277777777777779</v>
      </c>
      <c r="T70" s="27">
        <v>0.20625000000000002</v>
      </c>
      <c r="U70" s="4">
        <f t="shared" ref="U70:U72" si="53">(S70-T69)*24*60</f>
        <v>27.000000000000025</v>
      </c>
      <c r="V70" s="21">
        <f t="shared" si="51"/>
        <v>77</v>
      </c>
      <c r="W70" s="22"/>
      <c r="X70" s="22"/>
      <c r="Y70" s="22"/>
      <c r="Z70" s="22"/>
      <c r="AA70" s="162"/>
      <c r="AB70" s="162"/>
      <c r="AC70" s="24"/>
      <c r="AD70" s="24"/>
      <c r="AE70" s="18">
        <f t="shared" si="42"/>
        <v>-116.1038961038962</v>
      </c>
      <c r="AF70" s="20">
        <f t="shared" si="52"/>
        <v>0.95162337662337659</v>
      </c>
      <c r="AG70" s="170"/>
    </row>
    <row r="71" spans="1:33" ht="15.75" customHeight="1">
      <c r="A71" s="168" t="s">
        <v>919</v>
      </c>
      <c r="B71" s="4" t="s">
        <v>97</v>
      </c>
      <c r="C71" s="163" t="s">
        <v>130</v>
      </c>
      <c r="D71" s="163"/>
      <c r="E71" s="35">
        <v>24.43</v>
      </c>
      <c r="F71" s="4">
        <v>7043</v>
      </c>
      <c r="G71" s="4">
        <f t="shared" si="44"/>
        <v>172060.49</v>
      </c>
      <c r="H71" s="21" t="s">
        <v>133</v>
      </c>
      <c r="I71" s="15">
        <v>14</v>
      </c>
      <c r="J71" s="17">
        <v>2400</v>
      </c>
      <c r="K71" s="16">
        <f t="shared" si="45"/>
        <v>171.42857142857142</v>
      </c>
      <c r="L71" s="15">
        <v>14</v>
      </c>
      <c r="M71" s="17">
        <f t="shared" si="46"/>
        <v>2284.2162162162167</v>
      </c>
      <c r="N71" s="16">
        <f t="shared" si="47"/>
        <v>163.15830115830119</v>
      </c>
      <c r="O71" s="18">
        <f t="shared" si="48"/>
        <v>0</v>
      </c>
      <c r="P71" s="19">
        <f t="shared" si="49"/>
        <v>-8.2702702702702311</v>
      </c>
      <c r="Q71" s="20">
        <f t="shared" si="50"/>
        <v>0.95175675675675697</v>
      </c>
      <c r="R71" s="170"/>
      <c r="S71" s="27">
        <v>0.21180555555555558</v>
      </c>
      <c r="T71" s="27">
        <v>0.34027777777777779</v>
      </c>
      <c r="U71" s="4">
        <f t="shared" si="53"/>
        <v>8.0000000000000107</v>
      </c>
      <c r="V71" s="21">
        <f t="shared" si="51"/>
        <v>184.99999999999997</v>
      </c>
      <c r="W71" s="22"/>
      <c r="X71" s="22"/>
      <c r="Y71" s="22"/>
      <c r="Z71" s="22"/>
      <c r="AA71" s="162"/>
      <c r="AB71" s="162"/>
      <c r="AC71" s="24"/>
      <c r="AD71" s="24"/>
      <c r="AE71" s="18">
        <f t="shared" si="42"/>
        <v>-115.78378378378329</v>
      </c>
      <c r="AF71" s="20">
        <f t="shared" si="52"/>
        <v>0.95175675675675697</v>
      </c>
      <c r="AG71" s="170"/>
    </row>
    <row r="72" spans="1:33" ht="15.75" customHeight="1">
      <c r="A72" s="168" t="s">
        <v>919</v>
      </c>
      <c r="B72" s="4" t="s">
        <v>97</v>
      </c>
      <c r="C72" s="163" t="s">
        <v>132</v>
      </c>
      <c r="D72" s="163"/>
      <c r="E72" s="35">
        <v>19.02</v>
      </c>
      <c r="F72" s="4">
        <v>9844</v>
      </c>
      <c r="G72" s="4">
        <f t="shared" si="44"/>
        <v>187232.88</v>
      </c>
      <c r="H72" s="21" t="s">
        <v>133</v>
      </c>
      <c r="I72" s="15">
        <v>14</v>
      </c>
      <c r="J72" s="17">
        <v>2400</v>
      </c>
      <c r="K72" s="16">
        <f t="shared" si="45"/>
        <v>171.42857142857142</v>
      </c>
      <c r="L72" s="15">
        <v>14</v>
      </c>
      <c r="M72" s="17">
        <f t="shared" si="46"/>
        <v>2289.3023255813951</v>
      </c>
      <c r="N72" s="16">
        <f t="shared" si="47"/>
        <v>163.52159468438535</v>
      </c>
      <c r="O72" s="18">
        <f t="shared" si="48"/>
        <v>0</v>
      </c>
      <c r="P72" s="19">
        <f t="shared" si="49"/>
        <v>-7.9069767441860677</v>
      </c>
      <c r="Q72" s="20">
        <f t="shared" si="50"/>
        <v>0.95387596899224791</v>
      </c>
      <c r="R72" s="170"/>
      <c r="S72" s="27">
        <v>0.34583333333333333</v>
      </c>
      <c r="T72" s="27">
        <v>0.52500000000000002</v>
      </c>
      <c r="U72" s="4">
        <f t="shared" si="53"/>
        <v>7.9999999999999716</v>
      </c>
      <c r="V72" s="21">
        <f t="shared" si="51"/>
        <v>258.00000000000006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42"/>
        <v>-110.69767441860495</v>
      </c>
      <c r="AF72" s="20">
        <f t="shared" si="52"/>
        <v>0.95387596899224791</v>
      </c>
      <c r="AG72" s="170"/>
    </row>
    <row r="73" spans="1:33" ht="16.5" customHeight="1">
      <c r="A73" s="169" t="s">
        <v>919</v>
      </c>
      <c r="B73" s="35" t="s">
        <v>920</v>
      </c>
      <c r="C73" s="164"/>
      <c r="D73" s="165"/>
      <c r="E73" s="36"/>
      <c r="F73" s="16"/>
      <c r="G73" s="16"/>
      <c r="H73" s="4"/>
      <c r="I73" s="29">
        <v>15.5</v>
      </c>
      <c r="J73" s="17">
        <v>2400</v>
      </c>
      <c r="K73" s="16">
        <f t="shared" si="45"/>
        <v>154.83870967741936</v>
      </c>
      <c r="L73" s="29">
        <v>15.5</v>
      </c>
      <c r="M73" s="17">
        <f>AVERAGE(M69:M72)</f>
        <v>2285.7920175878126</v>
      </c>
      <c r="N73" s="16">
        <f t="shared" si="47"/>
        <v>147.4704527476008</v>
      </c>
      <c r="O73" s="18">
        <f t="shared" si="48"/>
        <v>0</v>
      </c>
      <c r="P73" s="19">
        <f t="shared" si="49"/>
        <v>-7.368256929818557</v>
      </c>
      <c r="Q73" s="20">
        <f t="shared" si="50"/>
        <v>0.95241334066158845</v>
      </c>
      <c r="R73" s="170"/>
      <c r="S73" s="27"/>
      <c r="T73" s="27"/>
      <c r="U73" s="16"/>
      <c r="V73" s="21"/>
      <c r="W73" s="16"/>
      <c r="X73" s="16"/>
      <c r="Y73" s="30">
        <f>SUM(Y69:Y72)</f>
        <v>0</v>
      </c>
      <c r="Z73" s="30">
        <f>SUM(Z69:Z72)</f>
        <v>0</v>
      </c>
      <c r="AA73" s="166"/>
      <c r="AB73" s="166"/>
      <c r="AC73" s="30">
        <v>4</v>
      </c>
      <c r="AD73" s="30">
        <f>SUM(AD69:AD72)</f>
        <v>0</v>
      </c>
      <c r="AE73" s="18">
        <f t="shared" si="42"/>
        <v>-114.20798241218745</v>
      </c>
      <c r="AF73" s="20">
        <f t="shared" si="52"/>
        <v>0.95241334066158856</v>
      </c>
      <c r="AG73" s="170"/>
    </row>
    <row r="74" spans="1:33">
      <c r="D74" s="41"/>
      <c r="E74" s="41"/>
    </row>
  </sheetData>
  <mergeCells count="19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5:AG20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C20:D20"/>
    <mergeCell ref="AA20:AB20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7"/>
    <mergeCell ref="C28:D28"/>
    <mergeCell ref="R28:R37"/>
    <mergeCell ref="AA28:AB28"/>
    <mergeCell ref="AA33:AB33"/>
    <mergeCell ref="C34:D34"/>
    <mergeCell ref="AA34:AB34"/>
    <mergeCell ref="C35:D35"/>
    <mergeCell ref="AG28:AG37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5:AB35"/>
    <mergeCell ref="C36:D36"/>
    <mergeCell ref="AA36:AB36"/>
    <mergeCell ref="C37:D37"/>
    <mergeCell ref="AA37:AB37"/>
    <mergeCell ref="A38:A45"/>
    <mergeCell ref="C38:D38"/>
    <mergeCell ref="R38:R45"/>
    <mergeCell ref="AA38:AB38"/>
    <mergeCell ref="AA43:AB43"/>
    <mergeCell ref="AG38:AG45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C44:D44"/>
    <mergeCell ref="AA44:AB44"/>
    <mergeCell ref="C45:D45"/>
    <mergeCell ref="AA45:AB45"/>
    <mergeCell ref="A46:A53"/>
    <mergeCell ref="C46:D46"/>
    <mergeCell ref="R46:R53"/>
    <mergeCell ref="AA46:AB46"/>
    <mergeCell ref="AA51:AB51"/>
    <mergeCell ref="C52:D52"/>
    <mergeCell ref="AG46:AG53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C51:D51"/>
    <mergeCell ref="AA52:AB52"/>
    <mergeCell ref="C53:D53"/>
    <mergeCell ref="AA53:AB53"/>
    <mergeCell ref="C54:D54"/>
    <mergeCell ref="R54:R63"/>
    <mergeCell ref="AA54:AB54"/>
    <mergeCell ref="AA60:AB60"/>
    <mergeCell ref="C61:D61"/>
    <mergeCell ref="AA61:AB61"/>
    <mergeCell ref="C62:D62"/>
    <mergeCell ref="AA62:AB62"/>
    <mergeCell ref="C63:D63"/>
    <mergeCell ref="AA63:AB63"/>
    <mergeCell ref="A64:A68"/>
    <mergeCell ref="C64:D64"/>
    <mergeCell ref="R64:R68"/>
    <mergeCell ref="AA64:AB64"/>
    <mergeCell ref="AG54:AG63"/>
    <mergeCell ref="C55:D55"/>
    <mergeCell ref="AA55:AB55"/>
    <mergeCell ref="C56:D56"/>
    <mergeCell ref="AA56:AB56"/>
    <mergeCell ref="AA57:AB57"/>
    <mergeCell ref="AA58:AB58"/>
    <mergeCell ref="C59:D59"/>
    <mergeCell ref="AA59:AB59"/>
    <mergeCell ref="C60:D60"/>
    <mergeCell ref="AG64:AG68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A54:A63"/>
    <mergeCell ref="AA72:AB72"/>
    <mergeCell ref="C73:D73"/>
    <mergeCell ref="AA73:AB73"/>
    <mergeCell ref="A69:A73"/>
    <mergeCell ref="C69:D69"/>
    <mergeCell ref="R69:R73"/>
    <mergeCell ref="AA69:AB69"/>
    <mergeCell ref="AG69:AG73"/>
    <mergeCell ref="C70:D70"/>
    <mergeCell ref="AA70:AB70"/>
    <mergeCell ref="C71:D71"/>
    <mergeCell ref="AA71:AB71"/>
    <mergeCell ref="C72:D72"/>
  </mergeCells>
  <phoneticPr fontId="3" type="noConversion"/>
  <conditionalFormatting sqref="O5:O73">
    <cfRule type="cellIs" dxfId="82" priority="1" operator="greaterThan">
      <formula>0</formula>
    </cfRule>
  </conditionalFormatting>
  <conditionalFormatting sqref="P5:P73">
    <cfRule type="cellIs" dxfId="81" priority="4" operator="lessThan">
      <formula>0</formula>
    </cfRule>
  </conditionalFormatting>
  <conditionalFormatting sqref="Q5:Q73">
    <cfRule type="cellIs" dxfId="80" priority="2" operator="greaterThan">
      <formula>1</formula>
    </cfRule>
    <cfRule type="cellIs" dxfId="79" priority="3" operator="lessThan">
      <formula>0.8</formula>
    </cfRule>
  </conditionalFormatting>
  <conditionalFormatting sqref="R5:R11 AG5:AG11">
    <cfRule type="cellIs" dxfId="78" priority="68" operator="lessThan">
      <formula>0.8</formula>
    </cfRule>
  </conditionalFormatting>
  <conditionalFormatting sqref="AE5:AE73">
    <cfRule type="cellIs" dxfId="77" priority="17" operator="lessThan">
      <formula>0</formula>
    </cfRule>
  </conditionalFormatting>
  <conditionalFormatting sqref="AF5:AF73">
    <cfRule type="cellIs" dxfId="76" priority="16" operator="lessThan">
      <formula>0.8</formula>
    </cfRule>
    <cfRule type="cellIs" dxfId="75" priority="15" operator="greaterThan">
      <formula>1</formula>
    </cfRule>
  </conditionalFormatting>
  <conditionalFormatting sqref="AG15:AG67 R15:R73">
    <cfRule type="cellIs" dxfId="74" priority="5" operator="lessThan">
      <formula>0.8</formula>
    </cfRule>
  </conditionalFormatting>
  <dataValidations count="1">
    <dataValidation type="list" allowBlank="1" showInputMessage="1" showErrorMessage="1" sqref="AB10 AA5:AB9 AA10:AA67 AB12:AB64 AA68:AB73" xr:uid="{00000000-0002-0000-2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Q32"/>
  <sheetViews>
    <sheetView zoomScale="85" zoomScaleNormal="85" workbookViewId="0">
      <selection activeCell="C7" sqref="C7:D7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134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788</v>
      </c>
      <c r="C3" s="151" t="str">
        <f>TEXT('0308 4度C'!A2,"yyyy.mm.ddaaaa")</f>
        <v>2026.03.08星期日</v>
      </c>
      <c r="D3" s="152"/>
      <c r="E3" s="45" t="s">
        <v>789</v>
      </c>
      <c r="F3" s="153">
        <f>'0308 4度C'!D1</f>
        <v>188342</v>
      </c>
      <c r="G3" s="154"/>
      <c r="H3" s="45" t="s">
        <v>137</v>
      </c>
      <c r="I3" s="155">
        <f>'0308 4度C'!F1</f>
        <v>6165865.0800000001</v>
      </c>
      <c r="J3" s="156"/>
      <c r="K3" s="46"/>
      <c r="L3" s="47"/>
      <c r="M3" s="47"/>
      <c r="N3" s="47"/>
    </row>
    <row r="4" spans="2:17" ht="28.5" customHeight="1">
      <c r="B4" s="157" t="s">
        <v>138</v>
      </c>
      <c r="C4" s="143" t="s">
        <v>790</v>
      </c>
      <c r="D4" s="144"/>
      <c r="E4" s="160" t="s">
        <v>791</v>
      </c>
      <c r="F4" s="161"/>
      <c r="G4" s="160" t="s">
        <v>792</v>
      </c>
      <c r="H4" s="161"/>
      <c r="I4" s="160" t="s">
        <v>793</v>
      </c>
      <c r="J4" s="161"/>
      <c r="K4" s="141" t="s">
        <v>794</v>
      </c>
      <c r="L4" s="142"/>
      <c r="M4" s="142" t="s">
        <v>207</v>
      </c>
      <c r="N4" s="142"/>
    </row>
    <row r="5" spans="2:17" ht="28.5" customHeight="1">
      <c r="B5" s="158"/>
      <c r="C5" s="143" t="s">
        <v>145</v>
      </c>
      <c r="D5" s="144"/>
      <c r="E5" s="143" t="s">
        <v>795</v>
      </c>
      <c r="F5" s="144"/>
      <c r="G5" s="145" t="s">
        <v>147</v>
      </c>
      <c r="H5" s="146"/>
      <c r="I5" s="147" t="s">
        <v>148</v>
      </c>
      <c r="J5" s="148"/>
      <c r="K5" s="48" t="s">
        <v>796</v>
      </c>
      <c r="L5" s="49" t="s">
        <v>150</v>
      </c>
      <c r="M5" s="48" t="s">
        <v>796</v>
      </c>
      <c r="N5" s="49" t="s">
        <v>797</v>
      </c>
    </row>
    <row r="6" spans="2:17" ht="28.5" customHeight="1">
      <c r="B6" s="158"/>
      <c r="C6" s="143" t="s">
        <v>153</v>
      </c>
      <c r="D6" s="144"/>
      <c r="E6" s="135">
        <f>AVERAGE(D13:M13)</f>
        <v>151.42349921531638</v>
      </c>
      <c r="F6" s="136">
        <f>AVERAGE(D31:O31,D13:J13)</f>
        <v>154.82604827825591</v>
      </c>
      <c r="G6" s="137">
        <f>AVERAGE(D13:J13)</f>
        <v>154.82604827825591</v>
      </c>
      <c r="H6" s="138"/>
      <c r="I6" s="137">
        <f>AVERAGE(K13:M13)</f>
        <v>143.48421806845749</v>
      </c>
      <c r="J6" s="138"/>
      <c r="K6" s="139">
        <f>'0308 4度C'!Y2</f>
        <v>0</v>
      </c>
      <c r="L6" s="124">
        <f>'0308 4度C'!Z2</f>
        <v>0</v>
      </c>
      <c r="M6" s="140">
        <f>'0308 4度C'!AC2</f>
        <v>62</v>
      </c>
      <c r="N6" s="124">
        <f>'0308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144.93052784466187</v>
      </c>
      <c r="F7" s="128">
        <f>AVERAGE(D32:O32,D14:J14)</f>
        <v>148.28066601621094</v>
      </c>
      <c r="G7" s="129">
        <f>AVERAGE(D14:J14)</f>
        <v>148.28066601621094</v>
      </c>
      <c r="H7" s="130"/>
      <c r="I7" s="129">
        <f>AVERAGE(K14:M14)</f>
        <v>137.11353877771398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0.95740779155622879</v>
      </c>
      <c r="F8" s="132">
        <f>AVERAGE(D15:J15,D33:O33)</f>
        <v>0.95813716088057366</v>
      </c>
      <c r="G8" s="133">
        <f>AVERAGE(D15:J15)</f>
        <v>0.95813716088057366</v>
      </c>
      <c r="H8" s="134"/>
      <c r="I8" s="133">
        <f>AVERAGE(K15:M15)</f>
        <v>0.95570592979942381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798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799</v>
      </c>
      <c r="E10" s="110"/>
      <c r="F10" s="110"/>
      <c r="G10" s="110"/>
      <c r="H10" s="110"/>
      <c r="I10" s="110"/>
      <c r="J10" s="111"/>
      <c r="K10" s="112" t="s">
        <v>427</v>
      </c>
      <c r="L10" s="113"/>
      <c r="M10" s="114"/>
      <c r="P10" s="53"/>
      <c r="Q10" s="53"/>
    </row>
    <row r="11" spans="2:17" ht="17.25" customHeight="1">
      <c r="B11" s="115" t="s">
        <v>428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800</v>
      </c>
      <c r="C13" s="60" t="s">
        <v>801</v>
      </c>
      <c r="D13" s="61">
        <f>SUMIFS('0308 4度C'!$K:$K,'0308 4度C'!$A:$A,"新豐6線",'0308 4度C'!$B:$B,"平均")</f>
        <v>112.35955056179775</v>
      </c>
      <c r="E13" s="62">
        <f>SUMIFS('0308 4度C'!$K:$K,'0308 4度C'!$A:$A,"新豐2線",'0308 4度C'!$B:$B,"平均")</f>
        <v>84.905660377358487</v>
      </c>
      <c r="F13" s="63">
        <f>SUMIFS('0308 4度C'!$K:$K,'0308 4度C'!$A:$A,"新豐5線",'0308 4度C'!$B:$B,"平均")</f>
        <v>109.19540229885058</v>
      </c>
      <c r="G13" s="63">
        <f>SUMIFS('0308 4度C'!$K:$K,'0308 4度C'!$A:$A,"新豐7線",'0308 4度C'!$B:$B,"平均")</f>
        <v>122.22222222222221</v>
      </c>
      <c r="H13" s="63">
        <f>SUMIFS('0308 4度C'!$K:$K,'0308 4度C'!$A:$A,"新豐3線",'0308 4度C'!$B:$B,"平均")</f>
        <v>313.43283582089555</v>
      </c>
      <c r="I13" s="63">
        <f>SUMIFS('0308 4度C'!$K:$K,'0308 4度C'!$A:$A,"新豐1線",'0308 4度C'!$B:$B,"平均")</f>
        <v>104.16666666666666</v>
      </c>
      <c r="J13" s="64">
        <f>SUMIFS('0308 4度C'!$K:$K,'0308 4度C'!$A:$A,"新豐10線",'0308 4度C'!$B:$B,"平均")</f>
        <v>237.5</v>
      </c>
      <c r="K13" s="65">
        <f>SUMIFS('0308 4度C'!$K:$K,'0308 4度C'!$A:$A,"新豐8線",'0308 4度C'!$B:$B,"平均")</f>
        <v>135.84905660377356</v>
      </c>
      <c r="L13" s="66">
        <f>SUMIFS('0308 4度C'!$K:$K,'0308 4度C'!$A:$A,"新豐9線",'0308 4度C'!$B:$B,"平均")</f>
        <v>136.70886075949366</v>
      </c>
      <c r="M13" s="64">
        <f>SUMIFS('0308 4度C'!$K:$K,'0308 4度C'!$A:$A,"新豐4線",'0308 4度C'!$B:$B,"平均")</f>
        <v>157.89473684210526</v>
      </c>
    </row>
    <row r="14" spans="2:17" ht="39.6" customHeight="1">
      <c r="B14" s="120"/>
      <c r="C14" s="67" t="s">
        <v>802</v>
      </c>
      <c r="D14" s="68">
        <f>SUMIFS('0308 4度C'!$N:$N,'0308 4度C'!$A:$A,"新豐6線",'0308 4度C'!$B:$B,"平均")</f>
        <v>108.45132525967996</v>
      </c>
      <c r="E14" s="69">
        <f>SUMIFS('0308 4度C'!$N:$N,'0308 4度C'!$A:$A,"新豐2線",'0308 4度C'!$B:$B,"平均")</f>
        <v>81.12520837652913</v>
      </c>
      <c r="F14" s="69">
        <f>SUMIFS('0308 4度C'!$N:$N,'0308 4度C'!$A:$A,"新豐5線",'0308 4度C'!$B:$B,"平均")</f>
        <v>104.77420930740826</v>
      </c>
      <c r="G14" s="69">
        <f>SUMIFS('0308 4度C'!$N:$N,'0308 4度C'!$A:$A,"新豐7線",'0308 4度C'!$B:$B,"平均")</f>
        <v>117.63393756578444</v>
      </c>
      <c r="H14" s="69">
        <f>SUMIFS('0308 4度C'!$N:$N,'0308 4度C'!$A:$A,"新豐3線",'0308 4度C'!$B:$B,"平均")</f>
        <v>299.59261777761492</v>
      </c>
      <c r="I14" s="69">
        <f>SUMIFS('0308 4度C'!$N:$N,'0308 4度C'!$A:$A,"新豐1線",'0308 4度C'!$B:$B,"平均")</f>
        <v>99.117709571737976</v>
      </c>
      <c r="J14" s="70">
        <f>SUMIFS('0308 4度C'!$N:$N,'0308 4度C'!$A:$A,"新豐10線",'0308 4度C'!$B:$B,"平均")</f>
        <v>227.2696542547219</v>
      </c>
      <c r="K14" s="71">
        <f>SUMIFS('0308 4度C'!$N:$N,'0308 4度C'!$A:$A,"新豐8線",'0308 4度C'!$B:$B,"平均")</f>
        <v>130.09014455592919</v>
      </c>
      <c r="L14" s="72">
        <f>SUMIFS('0308 4度C'!$N:$N,'0308 4度C'!$A:$A,"新豐9線",'0308 4度C'!$B:$B,"平均")</f>
        <v>130.67673242864259</v>
      </c>
      <c r="M14" s="70">
        <f>SUMIFS('0308 4度C'!$N:$N,'0308 4度C'!$A:$A,"新豐4線",'0308 4度C'!$B:$B,"平均")</f>
        <v>150.57373934857011</v>
      </c>
    </row>
    <row r="15" spans="2:17" ht="40.15" customHeight="1">
      <c r="B15" s="121"/>
      <c r="C15" s="73" t="s">
        <v>174</v>
      </c>
      <c r="D15" s="74">
        <f t="shared" ref="D15:M15" si="0">D14/D13</f>
        <v>0.96521679481115175</v>
      </c>
      <c r="E15" s="75">
        <f t="shared" si="0"/>
        <v>0.95547467643467643</v>
      </c>
      <c r="F15" s="75">
        <f t="shared" si="0"/>
        <v>0.95951117997310709</v>
      </c>
      <c r="G15" s="75">
        <f t="shared" si="0"/>
        <v>0.9624594891746</v>
      </c>
      <c r="H15" s="75">
        <f t="shared" si="0"/>
        <v>0.95584311386191423</v>
      </c>
      <c r="I15" s="75">
        <f t="shared" si="0"/>
        <v>0.95153001188868469</v>
      </c>
      <c r="J15" s="76">
        <f t="shared" si="0"/>
        <v>0.95692486001988164</v>
      </c>
      <c r="K15" s="74">
        <f t="shared" si="0"/>
        <v>0.95760800853670114</v>
      </c>
      <c r="L15" s="75">
        <f t="shared" si="0"/>
        <v>0.95587609832062648</v>
      </c>
      <c r="M15" s="76">
        <f t="shared" si="0"/>
        <v>0.95363368254094405</v>
      </c>
    </row>
    <row r="16" spans="2:17" ht="17.25" customHeight="1">
      <c r="B16" s="122" t="s">
        <v>175</v>
      </c>
      <c r="C16" s="77" t="s">
        <v>803</v>
      </c>
      <c r="D16" s="78">
        <f>VLOOKUP("新豐6線",'0308 4度C'!$A:$T,19,0)</f>
        <v>0.70833333333333337</v>
      </c>
      <c r="E16" s="79">
        <f>VLOOKUP("新豐2線",'0308 4度C'!$A:$T,19,0)</f>
        <v>0.20833333333333334</v>
      </c>
      <c r="F16" s="79">
        <f>VLOOKUP("新豐5線",'0308 4度C'!$A:$T,19,0)</f>
        <v>0.20833333333333334</v>
      </c>
      <c r="G16" s="79">
        <f>VLOOKUP("新豐7線",'0308 4度C'!$A:$T,19,0)</f>
        <v>0.20833333333333334</v>
      </c>
      <c r="H16" s="79">
        <f>VLOOKUP("新豐3線",'0308 4度C'!$A:$T,19,0)</f>
        <v>8.3333333333333329E-2</v>
      </c>
      <c r="I16" s="79">
        <f>VLOOKUP("新豐1線",'0308 4度C'!$A:$T,19,0)</f>
        <v>0.20833333333333334</v>
      </c>
      <c r="J16" s="80">
        <f>VLOOKUP("新豐10線",'0308 4度C'!$A:$T,19,0)</f>
        <v>0.20833333333333334</v>
      </c>
      <c r="K16" s="81">
        <f>VLOOKUP("新豐8線",'0308 4度C'!$A:$T,19,0)</f>
        <v>8.3333333333333329E-2</v>
      </c>
      <c r="L16" s="82">
        <f>VLOOKUP("新豐9線",'0308 4度C'!$A:$T,19,0)</f>
        <v>8.3333333333333329E-2</v>
      </c>
      <c r="M16" s="83">
        <f>VLOOKUP("新豐4線",'0308 4度C'!$A:$T,19,0)</f>
        <v>8.3333333333333329E-2</v>
      </c>
    </row>
    <row r="17" spans="2:13" ht="17.25" customHeight="1">
      <c r="B17" s="123"/>
      <c r="C17" s="77" t="s">
        <v>177</v>
      </c>
      <c r="D17" s="81">
        <f>LOOKUP(2,1/(('0308 4度C'!$A:$A="新豐6線")*('0308 4度C'!$T:$T&lt;&gt;"")),'0308 4度C'!$T:$T)</f>
        <v>0.84305555555555545</v>
      </c>
      <c r="E17" s="79">
        <f>LOOKUP(2,1/(('0308 4度C'!$A:$A="新豐2線")*('0308 4度C'!$T:$T&lt;&gt;"")),'0308 4度C'!$T:$T)</f>
        <v>0.58263888888888882</v>
      </c>
      <c r="F17" s="79">
        <f>LOOKUP(2,1/(('0308 4度C'!$A:$A="新豐5線")*('0308 4度C'!$T:$T&lt;&gt;"")),'0308 4度C'!$T:$T)</f>
        <v>0.92013888888888884</v>
      </c>
      <c r="G17" s="79">
        <f>LOOKUP(2,1/(('0308 4度C'!$A:$A="新豐7線")*('0308 4度C'!$T:$T&lt;&gt;"")),'0308 4度C'!$T:$T)</f>
        <v>0.90763888888888888</v>
      </c>
      <c r="H17" s="79">
        <f>LOOKUP(2,1/(('0308 4度C'!$A:$A="新豐3線")*('0308 4度C'!$T:$T&lt;&gt;"")),'0308 4度C'!$T:$T)</f>
        <v>0.62569444444444433</v>
      </c>
      <c r="I17" s="79">
        <f>LOOKUP(2,1/(('0308 4度C'!$A:$A="新豐1線")*('0308 4度C'!$T:$T&lt;&gt;"")),'0308 4度C'!$T:$T)</f>
        <v>0.92222222222222205</v>
      </c>
      <c r="J17" s="80">
        <f>LOOKUP(2,1/(('0308 4度C'!$A:$A="新豐10線")*('0308 4度C'!$T:$T&lt;&gt;"")),'0308 4度C'!$T:$T)</f>
        <v>0.47638888888888886</v>
      </c>
      <c r="K17" s="78">
        <f>LOOKUP(2,1/(('0308 4度C'!$A:$A="新豐8線")*('0308 4度C'!$T:$T&lt;&gt;"")),'0308 4度C'!$T:$T)</f>
        <v>0.74583333333333324</v>
      </c>
      <c r="L17" s="79">
        <f>LOOKUP(2,1/(('0308 4度C'!$A:$A="新豐9線")*('0308 4度C'!$T:$T&lt;&gt;"")),'0308 4度C'!$T:$T)</f>
        <v>0.76874999999999982</v>
      </c>
      <c r="M17" s="80">
        <f>LOOKUP(2,1/(('0308 4度C'!$A:$A="新豐4線")*('0308 4度C'!$T:$T&lt;&gt;"")),'0308 4度C'!$T:$T)</f>
        <v>0.6118055555555556</v>
      </c>
    </row>
    <row r="18" spans="2:13" ht="17.25" customHeight="1">
      <c r="B18" s="101" t="s">
        <v>178</v>
      </c>
      <c r="C18" s="84" t="s">
        <v>804</v>
      </c>
      <c r="D18" s="85">
        <f>SUMIFS('0308 4度C'!$Y:$Y,'0308 4度C'!$A:$A,"新豐6線",'0308 4度C'!$B:$B,"平均")</f>
        <v>0</v>
      </c>
      <c r="E18" s="86">
        <f>SUMIFS('0308 4度C'!$Y:$Y,'0308 4度C'!$A:$A,"新豐2線",'0308 4度C'!$B:$B,"平均")</f>
        <v>0</v>
      </c>
      <c r="F18" s="86">
        <f>SUMIFS('0308 4度C'!$Y:$Y,'0308 4度C'!$A:$A,"新豐5線",'0308 4度C'!$B:$B,"平均")</f>
        <v>0</v>
      </c>
      <c r="G18" s="86">
        <f>SUMIFS('0308 4度C'!$Y:$Y,'0308 4度C'!$A:$A,"新豐7線",'0308 4度C'!$B:$B,"平均")</f>
        <v>0</v>
      </c>
      <c r="H18" s="86">
        <f>SUMIFS('0308 4度C'!$Y:$Y,'0308 4度C'!$A:$A,"新豐3線",'0308 4度C'!$B:$B,"平均")</f>
        <v>0</v>
      </c>
      <c r="I18" s="86">
        <f>SUMIFS('0308 4度C'!$Y:$Y,'0308 4度C'!$A:$A,"新豐1線",'0308 4度C'!$B:$B,"平均")</f>
        <v>0</v>
      </c>
      <c r="J18" s="87">
        <f>SUMIFS('0308 4度C'!$Y:$Y,'0308 4度C'!$A:$A,"新豐10線",'0308 4度C'!$B:$B,"平均")</f>
        <v>0</v>
      </c>
      <c r="K18" s="88">
        <f>SUMIFS('0308 4度C'!$Y:$Y,'0308 4度C'!$A:$A,"新豐8線",'0308 4度C'!$B:$B,"平均")</f>
        <v>0</v>
      </c>
      <c r="L18" s="86">
        <f>SUMIFS('0308 4度C'!$Y:$Y,'0308 4度C'!$A:$A,"新豐9線",'0308 4度C'!$B:$B,"平均")</f>
        <v>0</v>
      </c>
      <c r="M18" s="87">
        <f>SUMIFS('0308 4度C'!$Y:$Y,'0308 4度C'!$A:$A,"新豐4線",'0308 4度C'!$B:$B,"平均")</f>
        <v>0</v>
      </c>
    </row>
    <row r="19" spans="2:13" ht="17.25" customHeight="1">
      <c r="B19" s="102"/>
      <c r="C19" s="84" t="s">
        <v>805</v>
      </c>
      <c r="D19" s="85">
        <f>SUMIFS('0308 4度C'!$Z:$Z,'0308 4度C'!$A:$A,"新豐6線",'0308 4度C'!$B:$B,"平均")</f>
        <v>0</v>
      </c>
      <c r="E19" s="86">
        <f>SUMIFS('0308 4度C'!$Z:$Z,'0308 4度C'!$A:$A,"新豐2線",'0308 4度C'!$B:$B,"平均")</f>
        <v>0</v>
      </c>
      <c r="F19" s="86">
        <f>SUMIFS('0308 4度C'!$Z:$Z,'0308 4度C'!$A:$A,"新豐5線",'0308 4度C'!$B:$B,"平均")</f>
        <v>0</v>
      </c>
      <c r="G19" s="86">
        <f>SUMIFS('0308 4度C'!$Z:$Z,'0308 4度C'!$A:$A,"新豐7線",'0308 4度C'!$B:$B,"平均")</f>
        <v>0</v>
      </c>
      <c r="H19" s="86">
        <f>SUMIFS('0308 4度C'!$Z:$Z,'0308 4度C'!$A:$A,"新豐3線",'0308 4度C'!$B:$B,"平均")</f>
        <v>0</v>
      </c>
      <c r="I19" s="86">
        <f>SUMIFS('0308 4度C'!$Z:$Z,'0308 4度C'!$A:$A,"新豐1線",'0308 4度C'!$B:$B,"平均")</f>
        <v>0</v>
      </c>
      <c r="J19" s="87">
        <f>SUMIFS('0308 4度C'!$Z:$Z,'0308 4度C'!$A:$A,"新豐10線",'0308 4度C'!$B:$B,"平均")</f>
        <v>0</v>
      </c>
      <c r="K19" s="88">
        <f>SUMIFS('0308 4度C'!$Z:$Z,'0308 4度C'!$A:$A,"新豐8線",'0308 4度C'!$B:$B,"平均")</f>
        <v>0</v>
      </c>
      <c r="L19" s="86">
        <f>SUMIFS('0308 4度C'!$Z:$Z,'0308 4度C'!$A:$A,"新豐9線",'0308 4度C'!$B:$B,"平均")</f>
        <v>0</v>
      </c>
      <c r="M19" s="87">
        <f>SUMIFS('0308 4度C'!$Z:$Z,'0308 4度C'!$A:$A,"新豐4線",'0308 4度C'!$B:$B,"平均")</f>
        <v>0</v>
      </c>
    </row>
    <row r="20" spans="2:13" ht="17.25" customHeight="1">
      <c r="B20" s="101" t="s">
        <v>229</v>
      </c>
      <c r="C20" s="84" t="s">
        <v>804</v>
      </c>
      <c r="D20" s="85">
        <f>SUMIFS('0308 4度C'!$AC:$AC,'0308 4度C'!$A:$A,"新豐6線",'0308 4度C'!$B:$B,"平均")</f>
        <v>5</v>
      </c>
      <c r="E20" s="86">
        <f>SUMIFS('0308 4度C'!$AC:$AC,'0308 4度C'!$A:$A,"新豐2線",'0308 4度C'!$B:$B,"平均")</f>
        <v>3</v>
      </c>
      <c r="F20" s="86">
        <f>SUMIFS('0308 4度C'!$AC:$AC,'0308 4度C'!$A:$A,"新豐5線",'0308 4度C'!$B:$B,"平均")</f>
        <v>5</v>
      </c>
      <c r="G20" s="86">
        <f>SUMIFS('0308 4度C'!$AC:$AC,'0308 4度C'!$A:$A,"新豐7線",'0308 4度C'!$B:$B,"平均")</f>
        <v>6</v>
      </c>
      <c r="H20" s="86">
        <f>SUMIFS('0308 4度C'!$AC:$AC,'0308 4度C'!$A:$A,"新豐3線",'0308 4度C'!$B:$B,"平均")</f>
        <v>7</v>
      </c>
      <c r="I20" s="86">
        <f>SUMIFS('0308 4度C'!$AC:$AC,'0308 4度C'!$A:$A,"新豐1線",'0308 4度C'!$B:$B,"平均")</f>
        <v>9</v>
      </c>
      <c r="J20" s="87">
        <f>SUMIFS('0308 4度C'!$AC:$AC,'0308 4度C'!$A:$A,"新豐10線",'0308 4度C'!$B:$B,"平均")</f>
        <v>4</v>
      </c>
      <c r="K20" s="88">
        <f>SUMIFS('0308 4度C'!$AC:$AC,'0308 4度C'!$A:$A,"新豐8線",'0308 4度C'!$B:$B,"平均")</f>
        <v>9</v>
      </c>
      <c r="L20" s="86">
        <f>SUMIFS('0308 4度C'!$AC:$AC,'0308 4度C'!$A:$A,"新豐9線",'0308 4度C'!$B:$B,"平均")</f>
        <v>9</v>
      </c>
      <c r="M20" s="87">
        <f>SUMIFS('0308 4度C'!$AC:$AC,'0308 4度C'!$A:$A,"新豐4線",'0308 4度C'!$B:$B,"平均")</f>
        <v>5</v>
      </c>
    </row>
    <row r="21" spans="2:13" ht="17.25" customHeight="1">
      <c r="B21" s="102"/>
      <c r="C21" s="84" t="s">
        <v>182</v>
      </c>
      <c r="D21" s="85">
        <f>SUMIFS('0308 4度C'!$AD:$AD,'0308 4度C'!$A:$A,"新豐6線",'0308 4度C'!$B:$B,"平均")</f>
        <v>0</v>
      </c>
      <c r="E21" s="86">
        <f>SUMIFS('0308 4度C'!$AD:$AD,'0308 4度C'!$A:$A,"新豐2線",'0308 4度C'!$B:$B,"平均")</f>
        <v>0</v>
      </c>
      <c r="F21" s="86">
        <f>SUMIFS('0308 4度C'!$AD:$AD,'0308 4度C'!$A:$A,"新豐5線",'0308 4度C'!$B:$B,"平均")</f>
        <v>0</v>
      </c>
      <c r="G21" s="86">
        <f>SUMIFS('0308 4度C'!$AD:$AD,'0308 4度C'!$A:$A,"新豐7線",'0308 4度C'!$B:$B,"平均")</f>
        <v>0</v>
      </c>
      <c r="H21" s="86">
        <f>SUMIFS('0308 4度C'!$AD:$AD,'0308 4度C'!$A:$A,"新豐3線",'0308 4度C'!$B:$B,"平均")</f>
        <v>0</v>
      </c>
      <c r="I21" s="86">
        <f>SUMIFS('0308 4度C'!$AD:$AD,'0308 4度C'!$A:$A,"新豐1線",'0308 4度C'!$B:$B,"平均")</f>
        <v>0</v>
      </c>
      <c r="J21" s="87">
        <f>SUMIFS('0308 4度C'!$AD:$AD,'0308 4度C'!$A:$A,"新豐10線",'0308 4度C'!$B:$B,"平均")</f>
        <v>0</v>
      </c>
      <c r="K21" s="88">
        <f>SUMIFS('0308 4度C'!$AD:$AD,'0308 4度C'!$A:$A,"新豐8線",'0308 4度C'!$B:$B,"平均")</f>
        <v>0</v>
      </c>
      <c r="L21" s="86">
        <f>SUMIFS('0308 4度C'!$AD:$AD,'0308 4度C'!$A:$A,"新豐9線",'0308 4度C'!$B:$B,"平均")</f>
        <v>0</v>
      </c>
      <c r="M21" s="87">
        <f>SUMIFS('0308 4度C'!$AD:$AD,'0308 4度C'!$A:$A,"新豐4線",'0308 4度C'!$B:$B,"平均")</f>
        <v>0</v>
      </c>
    </row>
    <row r="22" spans="2:13" ht="17.25" customHeight="1">
      <c r="B22" s="103" t="s">
        <v>806</v>
      </c>
      <c r="C22" s="104"/>
      <c r="D22" s="89">
        <f>SUMIFS('0308 4度C'!$I:$I,'0308 4度C'!$A:$A,"新豐6線",'0308 4度C'!$B:$B,"平均")</f>
        <v>17.8</v>
      </c>
      <c r="E22" s="90">
        <f>SUMIFS('0308 4度C'!$I:$I,'0308 4度C'!$A:$A,"新豐2線",'0308 4度C'!$B:$B,"平均")</f>
        <v>17.666666666666668</v>
      </c>
      <c r="F22" s="90">
        <f>SUMIFS('0308 4度C'!$I:$I,'0308 4度C'!$A:$A,"新豐5線",'0308 4度C'!$B:$B,"平均")</f>
        <v>17.399999999999999</v>
      </c>
      <c r="G22" s="90">
        <f>SUMIFS('0308 4度C'!$I:$I,'0308 4度C'!$A:$A,"新豐7線",'0308 4度C'!$B:$B,"平均")</f>
        <v>15</v>
      </c>
      <c r="H22" s="90">
        <f>SUMIFS('0308 4度C'!$I:$I,'0308 4度C'!$A:$A,"新豐3線",'0308 4度C'!$B:$B,"平均")</f>
        <v>9.5714285714285712</v>
      </c>
      <c r="I22" s="90">
        <f>SUMIFS('0308 4度C'!$I:$I,'0308 4度C'!$A:$A,"新豐1線",'0308 4度C'!$B:$B,"平均")</f>
        <v>18.666666666666668</v>
      </c>
      <c r="J22" s="91">
        <f>SUMIFS('0308 4度C'!$I:$I,'0308 4度C'!$A:$A,"新豐10線",'0308 4度C'!$B:$B,"平均")</f>
        <v>10</v>
      </c>
      <c r="K22" s="89">
        <f>SUMIFS('0308 4度C'!$I:$I,'0308 4度C'!$A:$A,"新豐8線",'0308 4度C'!$B:$B,"平均")</f>
        <v>17.666666666666668</v>
      </c>
      <c r="L22" s="90">
        <f>SUMIFS('0308 4度C'!$I:$I,'0308 4度C'!$A:$A,"新豐9線",'0308 4度C'!$B:$B,"平均")</f>
        <v>17.555555555555557</v>
      </c>
      <c r="M22" s="91">
        <f>SUMIFS('0308 4度C'!$I:$I,'0308 4度C'!$A:$A,"新豐4線",'0308 4度C'!$B:$B,"平均")</f>
        <v>15.2</v>
      </c>
    </row>
    <row r="23" spans="2:13" ht="17.25" customHeight="1">
      <c r="B23" s="103" t="s">
        <v>807</v>
      </c>
      <c r="C23" s="104"/>
      <c r="D23" s="92" t="s">
        <v>185</v>
      </c>
      <c r="E23" s="93" t="s">
        <v>186</v>
      </c>
      <c r="F23" s="93" t="s">
        <v>808</v>
      </c>
      <c r="G23" s="93" t="s">
        <v>808</v>
      </c>
      <c r="H23" s="93" t="s">
        <v>188</v>
      </c>
      <c r="I23" s="93" t="s">
        <v>185</v>
      </c>
      <c r="J23" s="94" t="s">
        <v>188</v>
      </c>
      <c r="K23" s="92" t="s">
        <v>189</v>
      </c>
      <c r="L23" s="93" t="s">
        <v>809</v>
      </c>
      <c r="M23" s="94" t="s">
        <v>809</v>
      </c>
    </row>
    <row r="24" spans="2:13" ht="17.25" customHeight="1">
      <c r="B24" s="103" t="s">
        <v>810</v>
      </c>
      <c r="C24" s="104"/>
      <c r="D24" s="92"/>
      <c r="E24" s="93"/>
      <c r="F24" s="93" t="s">
        <v>446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239</v>
      </c>
      <c r="C25" s="106"/>
      <c r="D25" s="95"/>
      <c r="E25" s="96" t="s">
        <v>193</v>
      </c>
      <c r="F25" s="99" t="s">
        <v>194</v>
      </c>
      <c r="G25" s="100"/>
      <c r="H25" s="96" t="s">
        <v>195</v>
      </c>
      <c r="I25" s="96" t="s">
        <v>346</v>
      </c>
      <c r="J25" s="97" t="s">
        <v>811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工作表13">
    <pageSetUpPr fitToPage="1"/>
  </sheetPr>
  <dimension ref="A1:AG77"/>
  <sheetViews>
    <sheetView zoomScale="80" zoomScaleNormal="80" workbookViewId="0">
      <pane ySplit="4" topLeftCell="A5" activePane="bottomLeft" state="frozen"/>
      <selection activeCell="K12" sqref="K12"/>
      <selection pane="bottomLeft" activeCell="K12" sqref="K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812</v>
      </c>
      <c r="D1" s="3">
        <f>SUM(F5:F76)</f>
        <v>188342</v>
      </c>
      <c r="E1" s="4" t="s">
        <v>247</v>
      </c>
      <c r="F1" s="1">
        <f>SUM(G5:G76)</f>
        <v>6165865.0800000001</v>
      </c>
      <c r="G1" s="1" t="s">
        <v>350</v>
      </c>
      <c r="H1" s="5">
        <f>L10+L14+L55+L65+L20+L70+L37+L47+L27+L76</f>
        <v>156.52698412698413</v>
      </c>
      <c r="I1" s="212" t="s">
        <v>4</v>
      </c>
      <c r="J1" s="212"/>
      <c r="K1" s="212"/>
      <c r="L1" s="212" t="s">
        <v>5</v>
      </c>
      <c r="M1" s="212"/>
      <c r="N1" s="212"/>
      <c r="O1" s="212" t="s">
        <v>458</v>
      </c>
      <c r="P1" s="212"/>
      <c r="Q1" s="212"/>
      <c r="R1" s="212"/>
      <c r="S1" s="212" t="s">
        <v>354</v>
      </c>
      <c r="T1" s="212"/>
      <c r="U1" s="212"/>
      <c r="V1" s="212"/>
      <c r="W1" s="212"/>
      <c r="X1" s="212"/>
      <c r="Y1" s="6" t="s">
        <v>463</v>
      </c>
      <c r="Z1" s="7" t="s">
        <v>9</v>
      </c>
      <c r="AA1" s="213" t="s">
        <v>10</v>
      </c>
      <c r="AB1" s="213"/>
      <c r="AC1" s="42" t="s">
        <v>463</v>
      </c>
      <c r="AD1" s="7" t="s">
        <v>813</v>
      </c>
      <c r="AE1" s="212" t="s">
        <v>563</v>
      </c>
      <c r="AF1" s="214"/>
      <c r="AG1" s="214"/>
    </row>
    <row r="2" spans="1:33" ht="26.25" customHeight="1">
      <c r="A2" s="33">
        <v>46089</v>
      </c>
      <c r="B2" s="34" t="s">
        <v>77</v>
      </c>
      <c r="C2" s="2" t="s">
        <v>360</v>
      </c>
      <c r="D2" s="9">
        <f>AVERAGE(N10,N14,N55,N65,N20,N70,N27,N37,N47,N76)</f>
        <v>144.93052784466187</v>
      </c>
      <c r="E2" s="10" t="s">
        <v>14</v>
      </c>
      <c r="F2" s="11">
        <f>F1/D1</f>
        <v>32.737600110437398</v>
      </c>
      <c r="G2" s="1" t="s">
        <v>15</v>
      </c>
      <c r="H2" s="12">
        <f>COUNT(H5:H76)</f>
        <v>13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SUM(Y10+Y14+Y20+Y27+Y37+Y47+Y55+Y65+Y70+Y76)</f>
        <v>0</v>
      </c>
      <c r="Z2" s="13">
        <f>SUM(Z10+Z14+Z20+Z27+Z37+Z47+Z55+Z65+Z70+Z76)</f>
        <v>0</v>
      </c>
      <c r="AA2" s="213"/>
      <c r="AB2" s="213"/>
      <c r="AC2" s="13">
        <v>62</v>
      </c>
      <c r="AD2" s="13">
        <f>SUM(AD10+AD14+AD20+AD27+AD37+AD47+AD55+AD65+AD70+AD76)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363</v>
      </c>
      <c r="C3" s="162" t="s">
        <v>262</v>
      </c>
      <c r="D3" s="162"/>
      <c r="E3" s="210" t="s">
        <v>19</v>
      </c>
      <c r="F3" s="162" t="s">
        <v>20</v>
      </c>
      <c r="G3" s="210" t="s">
        <v>265</v>
      </c>
      <c r="H3" s="204" t="s">
        <v>474</v>
      </c>
      <c r="I3" s="202" t="s">
        <v>23</v>
      </c>
      <c r="J3" s="199" t="s">
        <v>24</v>
      </c>
      <c r="K3" s="209" t="s">
        <v>360</v>
      </c>
      <c r="L3" s="202" t="s">
        <v>23</v>
      </c>
      <c r="M3" s="199" t="s">
        <v>814</v>
      </c>
      <c r="N3" s="209" t="s">
        <v>360</v>
      </c>
      <c r="O3" s="202" t="s">
        <v>23</v>
      </c>
      <c r="P3" s="209" t="s">
        <v>360</v>
      </c>
      <c r="Q3" s="200" t="s">
        <v>269</v>
      </c>
      <c r="R3" s="178" t="s">
        <v>36</v>
      </c>
      <c r="S3" s="162" t="s">
        <v>27</v>
      </c>
      <c r="T3" s="162"/>
      <c r="U3" s="204" t="s">
        <v>28</v>
      </c>
      <c r="V3" s="204" t="s">
        <v>815</v>
      </c>
      <c r="W3" s="162" t="s">
        <v>272</v>
      </c>
      <c r="X3" s="162"/>
      <c r="Y3" s="205" t="s">
        <v>816</v>
      </c>
      <c r="Z3" s="166"/>
      <c r="AA3" s="206" t="s">
        <v>483</v>
      </c>
      <c r="AB3" s="207"/>
      <c r="AC3" s="205" t="s">
        <v>817</v>
      </c>
      <c r="AD3" s="166"/>
      <c r="AE3" s="199" t="s">
        <v>818</v>
      </c>
      <c r="AF3" s="200" t="s">
        <v>819</v>
      </c>
      <c r="AG3" s="178" t="s">
        <v>820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821</v>
      </c>
      <c r="X4" s="4" t="s">
        <v>822</v>
      </c>
      <c r="Y4" s="14" t="s">
        <v>41</v>
      </c>
      <c r="Z4" s="14" t="s">
        <v>823</v>
      </c>
      <c r="AA4" s="208"/>
      <c r="AB4" s="207"/>
      <c r="AC4" s="14" t="s">
        <v>824</v>
      </c>
      <c r="AD4" s="14" t="s">
        <v>825</v>
      </c>
      <c r="AE4" s="199"/>
      <c r="AF4" s="200"/>
      <c r="AG4" s="178"/>
    </row>
    <row r="5" spans="1:33">
      <c r="A5" s="201" t="s">
        <v>826</v>
      </c>
      <c r="B5" s="35" t="s">
        <v>78</v>
      </c>
      <c r="C5" s="203" t="s">
        <v>79</v>
      </c>
      <c r="D5" s="203"/>
      <c r="E5" s="35">
        <v>50.67</v>
      </c>
      <c r="F5" s="4">
        <v>1747</v>
      </c>
      <c r="G5" s="4">
        <f t="shared" ref="G5:G9" si="0">E5*F5</f>
        <v>88520.49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1905.8181818181829</v>
      </c>
      <c r="N5" s="16">
        <f t="shared" ref="N5:N68" si="3">M5/L5</f>
        <v>112.10695187165781</v>
      </c>
      <c r="O5" s="18">
        <f t="shared" ref="O5:O68" si="4">L5-I5</f>
        <v>0</v>
      </c>
      <c r="P5" s="19">
        <f t="shared" ref="P5:P68" si="5">N5-K5</f>
        <v>-5.5401069518715929</v>
      </c>
      <c r="Q5" s="20">
        <f t="shared" ref="Q5:Q68" si="6">N5/K5</f>
        <v>0.95290909090909148</v>
      </c>
      <c r="R5" s="170">
        <f>Q10</f>
        <v>0.96521679481115175</v>
      </c>
      <c r="S5" s="27">
        <v>0.70833333333333337</v>
      </c>
      <c r="T5" s="27">
        <v>0.74652777777777779</v>
      </c>
      <c r="U5" s="4"/>
      <c r="V5" s="21">
        <f t="shared" ref="V5:V9" si="7">(T5-S5)*24*60</f>
        <v>54.999999999999964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4" si="8">M5-J5</f>
        <v>-94.181818181817107</v>
      </c>
      <c r="AF5" s="20">
        <f t="shared" ref="AF5:AF68" si="9">M5/J5</f>
        <v>0.95290909090909148</v>
      </c>
      <c r="AG5" s="170">
        <f>AF10</f>
        <v>0.96521679481115163</v>
      </c>
    </row>
    <row r="6" spans="1:33">
      <c r="A6" s="202" t="s">
        <v>47</v>
      </c>
      <c r="B6" s="35" t="s">
        <v>78</v>
      </c>
      <c r="C6" s="203" t="s">
        <v>80</v>
      </c>
      <c r="D6" s="203"/>
      <c r="E6" s="35">
        <v>54.09</v>
      </c>
      <c r="F6" s="4">
        <v>1482</v>
      </c>
      <c r="G6" s="4">
        <f t="shared" si="0"/>
        <v>80161.38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1933.0434782608697</v>
      </c>
      <c r="N6" s="16">
        <f t="shared" si="3"/>
        <v>101.73913043478262</v>
      </c>
      <c r="O6" s="18">
        <f t="shared" si="4"/>
        <v>0</v>
      </c>
      <c r="P6" s="19">
        <f t="shared" si="5"/>
        <v>-3.5240274599542118</v>
      </c>
      <c r="Q6" s="20">
        <f t="shared" si="6"/>
        <v>0.96652173913043493</v>
      </c>
      <c r="R6" s="170"/>
      <c r="S6" s="27">
        <v>0.75069444444444444</v>
      </c>
      <c r="T6" s="27">
        <v>0.78263888888888888</v>
      </c>
      <c r="U6" s="4">
        <f t="shared" ref="U6:U9" si="10">IF(S6=TIME(17,0,0),"",(S6-T5)*24*60)</f>
        <v>5.9999999999999787</v>
      </c>
      <c r="V6" s="21">
        <f t="shared" si="7"/>
        <v>46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-66.956521739130267</v>
      </c>
      <c r="AF6" s="20">
        <f t="shared" si="9"/>
        <v>0.96652173913043482</v>
      </c>
      <c r="AG6" s="170"/>
    </row>
    <row r="7" spans="1:33">
      <c r="A7" s="202" t="s">
        <v>47</v>
      </c>
      <c r="B7" s="35" t="s">
        <v>78</v>
      </c>
      <c r="C7" s="197" t="s">
        <v>81</v>
      </c>
      <c r="D7" s="198"/>
      <c r="E7" s="35">
        <v>50.29</v>
      </c>
      <c r="F7" s="4">
        <v>672</v>
      </c>
      <c r="G7" s="4">
        <f t="shared" si="0"/>
        <v>33794.879999999997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1920.0000000000068</v>
      </c>
      <c r="N7" s="16">
        <f t="shared" si="3"/>
        <v>120.00000000000043</v>
      </c>
      <c r="O7" s="18">
        <f t="shared" si="4"/>
        <v>0</v>
      </c>
      <c r="P7" s="19">
        <f t="shared" si="5"/>
        <v>-4.9999999999995737</v>
      </c>
      <c r="Q7" s="20">
        <f t="shared" si="6"/>
        <v>0.96000000000000341</v>
      </c>
      <c r="R7" s="170"/>
      <c r="S7" s="27">
        <v>0.78680555555555554</v>
      </c>
      <c r="T7" s="27">
        <v>0.80138888888888882</v>
      </c>
      <c r="U7" s="4">
        <f t="shared" si="10"/>
        <v>5.9999999999999787</v>
      </c>
      <c r="V7" s="21">
        <f t="shared" si="7"/>
        <v>20.999999999999925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-79.999999999993179</v>
      </c>
      <c r="AF7" s="20">
        <f t="shared" si="9"/>
        <v>0.96000000000000341</v>
      </c>
      <c r="AG7" s="170"/>
    </row>
    <row r="8" spans="1:33">
      <c r="A8" s="202" t="s">
        <v>47</v>
      </c>
      <c r="B8" s="35" t="s">
        <v>78</v>
      </c>
      <c r="C8" s="197" t="s">
        <v>82</v>
      </c>
      <c r="D8" s="198"/>
      <c r="E8" s="35">
        <v>50.67</v>
      </c>
      <c r="F8" s="4">
        <v>555</v>
      </c>
      <c r="G8" s="4">
        <f t="shared" si="0"/>
        <v>28121.850000000002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1958.8235294117717</v>
      </c>
      <c r="N8" s="16">
        <f t="shared" si="3"/>
        <v>93.277310924370084</v>
      </c>
      <c r="O8" s="18">
        <f t="shared" si="4"/>
        <v>0</v>
      </c>
      <c r="P8" s="19">
        <f t="shared" si="5"/>
        <v>-1.9607843137251564</v>
      </c>
      <c r="Q8" s="20">
        <f t="shared" si="6"/>
        <v>0.97941176470588587</v>
      </c>
      <c r="R8" s="170"/>
      <c r="S8" s="27">
        <v>0.80555555555555547</v>
      </c>
      <c r="T8" s="27">
        <v>0.81736111111111098</v>
      </c>
      <c r="U8" s="4">
        <f t="shared" si="10"/>
        <v>5.9999999999999787</v>
      </c>
      <c r="V8" s="21">
        <f t="shared" si="7"/>
        <v>16.99999999999994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-41.176470588228312</v>
      </c>
      <c r="AF8" s="20">
        <f t="shared" si="9"/>
        <v>0.97941176470588587</v>
      </c>
      <c r="AG8" s="170"/>
    </row>
    <row r="9" spans="1:33">
      <c r="A9" s="202" t="s">
        <v>47</v>
      </c>
      <c r="B9" s="35" t="s">
        <v>78</v>
      </c>
      <c r="C9" s="197" t="s">
        <v>83</v>
      </c>
      <c r="D9" s="198"/>
      <c r="E9" s="35">
        <v>50.67</v>
      </c>
      <c r="F9" s="4">
        <v>935</v>
      </c>
      <c r="G9" s="4">
        <f t="shared" si="0"/>
        <v>47376.450000000004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1934.4827586206857</v>
      </c>
      <c r="N9" s="16">
        <f t="shared" si="3"/>
        <v>120.90517241379285</v>
      </c>
      <c r="O9" s="18">
        <f t="shared" si="4"/>
        <v>0</v>
      </c>
      <c r="P9" s="19">
        <f t="shared" si="5"/>
        <v>-4.0948275862071455</v>
      </c>
      <c r="Q9" s="20">
        <f t="shared" si="6"/>
        <v>0.96724137931034282</v>
      </c>
      <c r="R9" s="170"/>
      <c r="S9" s="27">
        <v>0.82291666666666652</v>
      </c>
      <c r="T9" s="27">
        <v>0.84305555555555545</v>
      </c>
      <c r="U9" s="4">
        <f t="shared" si="10"/>
        <v>7.9999999999999716</v>
      </c>
      <c r="V9" s="21">
        <f t="shared" si="7"/>
        <v>29.000000000000057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-65.517241379314328</v>
      </c>
      <c r="AF9" s="20">
        <f t="shared" si="9"/>
        <v>0.96724137931034282</v>
      </c>
      <c r="AG9" s="170"/>
    </row>
    <row r="10" spans="1:33">
      <c r="A10" s="202" t="s">
        <v>827</v>
      </c>
      <c r="B10" s="35" t="s">
        <v>48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1930.4335896223033</v>
      </c>
      <c r="N10" s="16">
        <f t="shared" si="3"/>
        <v>108.45132525967996</v>
      </c>
      <c r="O10" s="18">
        <f t="shared" si="4"/>
        <v>0</v>
      </c>
      <c r="P10" s="19">
        <f t="shared" si="5"/>
        <v>-3.9082253021177848</v>
      </c>
      <c r="Q10" s="20">
        <f t="shared" si="6"/>
        <v>0.96521679481115175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-69.566410377696684</v>
      </c>
      <c r="AF10" s="20">
        <f t="shared" si="9"/>
        <v>0.96521679481115163</v>
      </c>
      <c r="AG10" s="170"/>
    </row>
    <row r="11" spans="1:33" ht="15.75" customHeight="1">
      <c r="A11" s="196" t="s">
        <v>49</v>
      </c>
      <c r="B11" s="35" t="s">
        <v>84</v>
      </c>
      <c r="C11" s="197" t="s">
        <v>85</v>
      </c>
      <c r="D11" s="198"/>
      <c r="E11" s="35">
        <v>39.619999999999997</v>
      </c>
      <c r="F11" s="4">
        <v>4354</v>
      </c>
      <c r="G11" s="4">
        <f t="shared" ref="G11:G13" si="11">E11*F11</f>
        <v>172505.47999999998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3" si="12">F11/V11*60</f>
        <v>1435.384615384615</v>
      </c>
      <c r="N11" s="16">
        <f t="shared" si="3"/>
        <v>75.546558704453417</v>
      </c>
      <c r="O11" s="18">
        <f t="shared" si="4"/>
        <v>0</v>
      </c>
      <c r="P11" s="19">
        <f t="shared" si="5"/>
        <v>-3.4008097165992126</v>
      </c>
      <c r="Q11" s="20">
        <f t="shared" si="6"/>
        <v>0.95692307692307665</v>
      </c>
      <c r="R11" s="170">
        <f>Q14</f>
        <v>0.95547467643467643</v>
      </c>
      <c r="S11" s="27">
        <v>0.20833333333333334</v>
      </c>
      <c r="T11" s="27">
        <v>0.33472222222222225</v>
      </c>
      <c r="U11" s="4"/>
      <c r="V11" s="21">
        <f t="shared" ref="V11:V13" si="13">(T11-S11)*24*60</f>
        <v>182.00000000000006</v>
      </c>
      <c r="W11" s="22"/>
      <c r="X11" s="22"/>
      <c r="Y11" s="22"/>
      <c r="Z11" s="22"/>
      <c r="AA11" s="162"/>
      <c r="AB11" s="162"/>
      <c r="AC11" s="24">
        <v>3</v>
      </c>
      <c r="AD11" s="24"/>
      <c r="AE11" s="18">
        <f t="shared" si="8"/>
        <v>-64.615384615384983</v>
      </c>
      <c r="AF11" s="20">
        <f t="shared" si="9"/>
        <v>0.95692307692307665</v>
      </c>
      <c r="AG11" s="170">
        <f>AF14</f>
        <v>0.95547467643467643</v>
      </c>
    </row>
    <row r="12" spans="1:33" ht="15.75" customHeight="1">
      <c r="A12" s="196" t="s">
        <v>828</v>
      </c>
      <c r="B12" s="35" t="s">
        <v>84</v>
      </c>
      <c r="C12" s="197" t="s">
        <v>86</v>
      </c>
      <c r="D12" s="198"/>
      <c r="E12" s="35">
        <v>39.799999999999997</v>
      </c>
      <c r="F12" s="4">
        <v>4000</v>
      </c>
      <c r="G12" s="4">
        <f t="shared" si="11"/>
        <v>159200</v>
      </c>
      <c r="H12" s="21">
        <v>2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1428.5714285714289</v>
      </c>
      <c r="N12" s="16">
        <f t="shared" si="3"/>
        <v>84.033613445378165</v>
      </c>
      <c r="O12" s="18">
        <f t="shared" si="4"/>
        <v>0</v>
      </c>
      <c r="P12" s="19">
        <f t="shared" si="5"/>
        <v>-4.2016806722688926</v>
      </c>
      <c r="Q12" s="20">
        <f t="shared" si="6"/>
        <v>0.95238095238095255</v>
      </c>
      <c r="R12" s="170"/>
      <c r="S12" s="27">
        <v>0.33958333333333335</v>
      </c>
      <c r="T12" s="27">
        <v>0.45624999999999999</v>
      </c>
      <c r="U12" s="4">
        <f t="shared" ref="U12:U13" si="14">IF(S12=TIME(17,0,0),"",(S12-T11)*24*60)</f>
        <v>6.9999999999999751</v>
      </c>
      <c r="V12" s="21">
        <f t="shared" si="13"/>
        <v>167.99999999999997</v>
      </c>
      <c r="W12" s="22">
        <f>T12</f>
        <v>0.45624999999999999</v>
      </c>
      <c r="X12" s="22">
        <f>S13</f>
        <v>0.49583333333333329</v>
      </c>
      <c r="Y12" s="22"/>
      <c r="Z12" s="22"/>
      <c r="AA12" s="162"/>
      <c r="AB12" s="162"/>
      <c r="AC12" s="24"/>
      <c r="AD12" s="24"/>
      <c r="AE12" s="18">
        <f t="shared" si="8"/>
        <v>-71.428571428571104</v>
      </c>
      <c r="AF12" s="20">
        <f t="shared" si="9"/>
        <v>0.95238095238095255</v>
      </c>
      <c r="AG12" s="170"/>
    </row>
    <row r="13" spans="1:33" ht="15.75" customHeight="1">
      <c r="A13" s="196" t="s">
        <v>49</v>
      </c>
      <c r="B13" s="35" t="s">
        <v>84</v>
      </c>
      <c r="C13" s="197" t="s">
        <v>86</v>
      </c>
      <c r="D13" s="198"/>
      <c r="E13" s="35">
        <v>39.799999999999997</v>
      </c>
      <c r="F13" s="4">
        <v>2991</v>
      </c>
      <c r="G13" s="4">
        <f t="shared" si="11"/>
        <v>119041.79999999999</v>
      </c>
      <c r="H13" s="21" t="s">
        <v>133</v>
      </c>
      <c r="I13" s="15">
        <v>17</v>
      </c>
      <c r="J13" s="17">
        <v>1500</v>
      </c>
      <c r="K13" s="16">
        <f t="shared" si="1"/>
        <v>88.235294117647058</v>
      </c>
      <c r="L13" s="15">
        <v>17</v>
      </c>
      <c r="M13" s="17">
        <f t="shared" si="12"/>
        <v>1435.6800000000005</v>
      </c>
      <c r="N13" s="16">
        <f t="shared" si="3"/>
        <v>84.451764705882383</v>
      </c>
      <c r="O13" s="18">
        <f t="shared" si="4"/>
        <v>0</v>
      </c>
      <c r="P13" s="19">
        <f t="shared" si="5"/>
        <v>-3.7835294117646754</v>
      </c>
      <c r="Q13" s="20">
        <f t="shared" si="6"/>
        <v>0.9571200000000003</v>
      </c>
      <c r="R13" s="170"/>
      <c r="S13" s="27">
        <v>0.49583333333333329</v>
      </c>
      <c r="T13" s="27">
        <v>0.58263888888888882</v>
      </c>
      <c r="U13" s="4">
        <f t="shared" si="14"/>
        <v>56.999999999999957</v>
      </c>
      <c r="V13" s="21">
        <f t="shared" si="13"/>
        <v>124.99999999999996</v>
      </c>
      <c r="W13" s="22"/>
      <c r="X13" s="22"/>
      <c r="Y13" s="22"/>
      <c r="Z13" s="22"/>
      <c r="AA13" s="162"/>
      <c r="AB13" s="162"/>
      <c r="AC13" s="24"/>
      <c r="AD13" s="24"/>
      <c r="AE13" s="18">
        <f t="shared" si="8"/>
        <v>-64.319999999999482</v>
      </c>
      <c r="AF13" s="20">
        <f t="shared" si="9"/>
        <v>0.9571200000000003</v>
      </c>
      <c r="AG13" s="170"/>
    </row>
    <row r="14" spans="1:33" ht="16.5" customHeight="1">
      <c r="A14" s="196" t="s">
        <v>829</v>
      </c>
      <c r="B14" s="35" t="s">
        <v>830</v>
      </c>
      <c r="C14" s="171"/>
      <c r="D14" s="171"/>
      <c r="E14" s="36"/>
      <c r="F14" s="17"/>
      <c r="G14" s="17"/>
      <c r="H14" s="4"/>
      <c r="I14" s="29">
        <v>17.666666666666668</v>
      </c>
      <c r="J14" s="17">
        <v>1500</v>
      </c>
      <c r="K14" s="16">
        <f t="shared" si="1"/>
        <v>84.905660377358487</v>
      </c>
      <c r="L14" s="29">
        <v>17.666666666666668</v>
      </c>
      <c r="M14" s="17">
        <f>AVERAGE(M11:M13)</f>
        <v>1433.2120146520147</v>
      </c>
      <c r="N14" s="16">
        <f t="shared" si="3"/>
        <v>81.12520837652913</v>
      </c>
      <c r="O14" s="18">
        <f t="shared" si="4"/>
        <v>0</v>
      </c>
      <c r="P14" s="19">
        <f t="shared" si="5"/>
        <v>-3.7804520008293565</v>
      </c>
      <c r="Q14" s="20">
        <f t="shared" si="6"/>
        <v>0.95547467643467643</v>
      </c>
      <c r="R14" s="170"/>
      <c r="S14" s="27"/>
      <c r="T14" s="27"/>
      <c r="U14" s="16"/>
      <c r="V14" s="21"/>
      <c r="W14" s="16"/>
      <c r="X14" s="16"/>
      <c r="Y14" s="30">
        <f>SUM(Y11:Y13)</f>
        <v>0</v>
      </c>
      <c r="Z14" s="30">
        <f>SUM(Z11:Z13)</f>
        <v>0</v>
      </c>
      <c r="AA14" s="166"/>
      <c r="AB14" s="166"/>
      <c r="AC14" s="30">
        <v>3</v>
      </c>
      <c r="AD14" s="30">
        <f>SUM(AD11:AD13)</f>
        <v>0</v>
      </c>
      <c r="AE14" s="18">
        <f t="shared" si="8"/>
        <v>-66.787985347985341</v>
      </c>
      <c r="AF14" s="20">
        <f t="shared" si="9"/>
        <v>0.95547467643467643</v>
      </c>
      <c r="AG14" s="170"/>
    </row>
    <row r="15" spans="1:33" ht="16.5" customHeight="1">
      <c r="A15" s="194" t="s">
        <v>831</v>
      </c>
      <c r="B15" s="4" t="s">
        <v>87</v>
      </c>
      <c r="C15" s="190" t="s">
        <v>88</v>
      </c>
      <c r="D15" s="190"/>
      <c r="E15" s="35">
        <v>41</v>
      </c>
      <c r="F15" s="4">
        <v>2946</v>
      </c>
      <c r="G15" s="4">
        <f t="shared" ref="G15:G19" si="15">E15*F15</f>
        <v>120786</v>
      </c>
      <c r="H15" s="21" t="s">
        <v>133</v>
      </c>
      <c r="I15" s="15">
        <v>26</v>
      </c>
      <c r="J15" s="17">
        <v>1500</v>
      </c>
      <c r="K15" s="16">
        <f t="shared" si="1"/>
        <v>57.692307692307693</v>
      </c>
      <c r="L15" s="15">
        <v>26</v>
      </c>
      <c r="M15" s="17">
        <f t="shared" ref="M15:M19" si="16">F15/V15*60</f>
        <v>1437.0731707317075</v>
      </c>
      <c r="N15" s="16">
        <f t="shared" si="3"/>
        <v>55.272045028142593</v>
      </c>
      <c r="O15" s="18">
        <f t="shared" si="4"/>
        <v>0</v>
      </c>
      <c r="P15" s="19">
        <f t="shared" si="5"/>
        <v>-2.4202626641651008</v>
      </c>
      <c r="Q15" s="20">
        <f t="shared" si="6"/>
        <v>0.95804878048780495</v>
      </c>
      <c r="R15" s="170">
        <f>Q20</f>
        <v>0.95951117997310709</v>
      </c>
      <c r="S15" s="27">
        <v>0.20833333333333334</v>
      </c>
      <c r="T15" s="27">
        <v>0.29375000000000001</v>
      </c>
      <c r="U15" s="4"/>
      <c r="V15" s="21">
        <f t="shared" ref="V15:V19" si="17">(T15-S15)*24*60</f>
        <v>122.99999999999999</v>
      </c>
      <c r="W15" s="27"/>
      <c r="X15" s="27"/>
      <c r="Y15" s="27"/>
      <c r="Z15" s="27"/>
      <c r="AA15" s="162"/>
      <c r="AB15" s="162"/>
      <c r="AC15" s="24">
        <v>5</v>
      </c>
      <c r="AD15" s="24"/>
      <c r="AE15" s="18">
        <f t="shared" si="8"/>
        <v>-62.926829268292522</v>
      </c>
      <c r="AF15" s="20">
        <f t="shared" si="9"/>
        <v>0.95804878048780495</v>
      </c>
      <c r="AG15" s="170">
        <f>AF20</f>
        <v>0.95951117997310709</v>
      </c>
    </row>
    <row r="16" spans="1:33" ht="16.5" customHeight="1">
      <c r="A16" s="195" t="s">
        <v>51</v>
      </c>
      <c r="B16" s="4" t="s">
        <v>78</v>
      </c>
      <c r="C16" s="190" t="s">
        <v>89</v>
      </c>
      <c r="D16" s="190"/>
      <c r="E16" s="35">
        <v>50.98</v>
      </c>
      <c r="F16" s="4">
        <v>2903</v>
      </c>
      <c r="G16" s="4">
        <f t="shared" si="15"/>
        <v>147994.94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1914.065934065934</v>
      </c>
      <c r="N16" s="16">
        <f t="shared" si="3"/>
        <v>119.62912087912088</v>
      </c>
      <c r="O16" s="18">
        <f t="shared" si="4"/>
        <v>0</v>
      </c>
      <c r="P16" s="19">
        <f t="shared" si="5"/>
        <v>-5.370879120879124</v>
      </c>
      <c r="Q16" s="20">
        <f t="shared" si="6"/>
        <v>0.95703296703296703</v>
      </c>
      <c r="R16" s="170"/>
      <c r="S16" s="27">
        <v>0.70833333333333337</v>
      </c>
      <c r="T16" s="27">
        <v>0.77152777777777781</v>
      </c>
      <c r="U16" s="4" t="str">
        <f t="shared" ref="U16:U19" si="18">IF(S16=TIME(17,0,0),"",(S16-T15)*24*60)</f>
        <v/>
      </c>
      <c r="V16" s="21">
        <f t="shared" si="17"/>
        <v>91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-85.934065934065984</v>
      </c>
      <c r="AF16" s="20">
        <f t="shared" si="9"/>
        <v>0.95703296703296703</v>
      </c>
      <c r="AG16" s="170"/>
    </row>
    <row r="17" spans="1:33" ht="16.5" customHeight="1">
      <c r="A17" s="195" t="s">
        <v>51</v>
      </c>
      <c r="B17" s="4" t="s">
        <v>78</v>
      </c>
      <c r="C17" s="190" t="s">
        <v>90</v>
      </c>
      <c r="D17" s="190"/>
      <c r="E17" s="35">
        <v>50.92</v>
      </c>
      <c r="F17" s="4">
        <v>1000</v>
      </c>
      <c r="G17" s="4">
        <f t="shared" si="15"/>
        <v>50920</v>
      </c>
      <c r="H17" s="21">
        <v>2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1935.483870967739</v>
      </c>
      <c r="N17" s="16">
        <f t="shared" si="3"/>
        <v>129.03225806451593</v>
      </c>
      <c r="O17" s="18">
        <f t="shared" si="4"/>
        <v>0</v>
      </c>
      <c r="P17" s="19">
        <f t="shared" si="5"/>
        <v>-4.3010752688174136</v>
      </c>
      <c r="Q17" s="20">
        <f t="shared" si="6"/>
        <v>0.96774193548386944</v>
      </c>
      <c r="R17" s="170"/>
      <c r="S17" s="27">
        <v>0.77500000000000002</v>
      </c>
      <c r="T17" s="27">
        <v>0.79652777777777783</v>
      </c>
      <c r="U17" s="4">
        <f t="shared" si="18"/>
        <v>4.9999999999999822</v>
      </c>
      <c r="V17" s="21">
        <f t="shared" si="17"/>
        <v>31.00000000000005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-64.516129032261006</v>
      </c>
      <c r="AF17" s="20">
        <f t="shared" si="9"/>
        <v>0.96774193548386944</v>
      </c>
      <c r="AG17" s="170"/>
    </row>
    <row r="18" spans="1:33" ht="16.5" customHeight="1">
      <c r="A18" s="195" t="s">
        <v>832</v>
      </c>
      <c r="B18" s="4" t="s">
        <v>78</v>
      </c>
      <c r="C18" s="190" t="s">
        <v>91</v>
      </c>
      <c r="D18" s="190"/>
      <c r="E18" s="35">
        <v>50.67</v>
      </c>
      <c r="F18" s="4">
        <v>1935</v>
      </c>
      <c r="G18" s="4">
        <f t="shared" si="15"/>
        <v>98046.45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1903.2786885245919</v>
      </c>
      <c r="N18" s="16">
        <f t="shared" si="3"/>
        <v>126.88524590163946</v>
      </c>
      <c r="O18" s="18">
        <f t="shared" si="4"/>
        <v>0</v>
      </c>
      <c r="P18" s="19">
        <f t="shared" si="5"/>
        <v>-6.4480874316938781</v>
      </c>
      <c r="Q18" s="20">
        <f t="shared" si="6"/>
        <v>0.95163934426229591</v>
      </c>
      <c r="R18" s="170"/>
      <c r="S18" s="27">
        <v>0.80069444444444449</v>
      </c>
      <c r="T18" s="27">
        <v>0.84305555555555556</v>
      </c>
      <c r="U18" s="4">
        <f t="shared" si="18"/>
        <v>5.9999999999999787</v>
      </c>
      <c r="V18" s="21">
        <f t="shared" si="17"/>
        <v>60.999999999999943</v>
      </c>
      <c r="W18" s="22">
        <f>T18</f>
        <v>0.84305555555555556</v>
      </c>
      <c r="X18" s="22">
        <f>S19</f>
        <v>0.88194444444444442</v>
      </c>
      <c r="Y18" s="22"/>
      <c r="Z18" s="22"/>
      <c r="AA18" s="162"/>
      <c r="AB18" s="162"/>
      <c r="AC18" s="24"/>
      <c r="AD18" s="24"/>
      <c r="AE18" s="18">
        <f t="shared" si="8"/>
        <v>-96.721311475408129</v>
      </c>
      <c r="AF18" s="20">
        <f t="shared" si="9"/>
        <v>0.95163934426229591</v>
      </c>
      <c r="AG18" s="170"/>
    </row>
    <row r="19" spans="1:33" ht="16.5" customHeight="1">
      <c r="A19" s="195" t="s">
        <v>832</v>
      </c>
      <c r="B19" s="4" t="s">
        <v>78</v>
      </c>
      <c r="C19" s="190" t="s">
        <v>90</v>
      </c>
      <c r="D19" s="190"/>
      <c r="E19" s="35">
        <v>50.92</v>
      </c>
      <c r="F19" s="4">
        <v>1765</v>
      </c>
      <c r="G19" s="4">
        <f t="shared" si="15"/>
        <v>89873.8</v>
      </c>
      <c r="H19" s="21" t="s">
        <v>133</v>
      </c>
      <c r="I19" s="15">
        <v>15</v>
      </c>
      <c r="J19" s="17">
        <v>2000</v>
      </c>
      <c r="K19" s="16">
        <f t="shared" si="1"/>
        <v>133.33333333333334</v>
      </c>
      <c r="L19" s="15">
        <v>15</v>
      </c>
      <c r="M19" s="17">
        <f t="shared" si="16"/>
        <v>1925.4545454545469</v>
      </c>
      <c r="N19" s="16">
        <f t="shared" si="3"/>
        <v>128.36363636363646</v>
      </c>
      <c r="O19" s="18">
        <f t="shared" si="4"/>
        <v>0</v>
      </c>
      <c r="P19" s="19">
        <f t="shared" si="5"/>
        <v>-4.9696969696968836</v>
      </c>
      <c r="Q19" s="20">
        <f t="shared" si="6"/>
        <v>0.96272727272727343</v>
      </c>
      <c r="R19" s="170"/>
      <c r="S19" s="27">
        <v>0.88194444444444442</v>
      </c>
      <c r="T19" s="27">
        <v>0.92013888888888884</v>
      </c>
      <c r="U19" s="4">
        <f t="shared" si="18"/>
        <v>55.999999999999957</v>
      </c>
      <c r="V19" s="21">
        <f t="shared" si="17"/>
        <v>54.999999999999964</v>
      </c>
      <c r="W19" s="22"/>
      <c r="X19" s="22"/>
      <c r="Y19" s="22"/>
      <c r="Z19" s="22"/>
      <c r="AA19" s="162"/>
      <c r="AB19" s="162"/>
      <c r="AC19" s="24"/>
      <c r="AD19" s="24"/>
      <c r="AE19" s="18">
        <f t="shared" si="8"/>
        <v>-74.54545454545314</v>
      </c>
      <c r="AF19" s="20">
        <f t="shared" si="9"/>
        <v>0.96272727272727343</v>
      </c>
      <c r="AG19" s="170"/>
    </row>
    <row r="20" spans="1:33" ht="16.5" customHeight="1">
      <c r="A20" s="195" t="s">
        <v>51</v>
      </c>
      <c r="B20" s="35" t="s">
        <v>48</v>
      </c>
      <c r="C20" s="171"/>
      <c r="D20" s="171"/>
      <c r="E20" s="36"/>
      <c r="F20" s="16"/>
      <c r="G20" s="16"/>
      <c r="H20" s="4"/>
      <c r="I20" s="29">
        <v>17.399999999999999</v>
      </c>
      <c r="J20" s="17">
        <v>1900</v>
      </c>
      <c r="K20" s="16">
        <f t="shared" si="1"/>
        <v>109.19540229885058</v>
      </c>
      <c r="L20" s="29">
        <v>17.399999999999999</v>
      </c>
      <c r="M20" s="17">
        <f>AVERAGE(M15:M19)</f>
        <v>1823.0712419489034</v>
      </c>
      <c r="N20" s="16">
        <f t="shared" si="3"/>
        <v>104.77420930740826</v>
      </c>
      <c r="O20" s="18">
        <f t="shared" si="4"/>
        <v>0</v>
      </c>
      <c r="P20" s="19">
        <f t="shared" si="5"/>
        <v>-4.4211929914423251</v>
      </c>
      <c r="Q20" s="20">
        <f t="shared" si="6"/>
        <v>0.95951117997310709</v>
      </c>
      <c r="R20" s="170"/>
      <c r="S20" s="27"/>
      <c r="T20" s="27"/>
      <c r="U20" s="4"/>
      <c r="V20" s="21"/>
      <c r="W20" s="16"/>
      <c r="X20" s="16"/>
      <c r="Y20" s="30">
        <f>SUM(Y15:Y19)</f>
        <v>0</v>
      </c>
      <c r="Z20" s="30">
        <f>SUM(Z15:Z19)</f>
        <v>0</v>
      </c>
      <c r="AA20" s="166"/>
      <c r="AB20" s="166"/>
      <c r="AC20" s="30">
        <v>5</v>
      </c>
      <c r="AD20" s="30">
        <f>SUM(AD15:AD19)</f>
        <v>0</v>
      </c>
      <c r="AE20" s="18">
        <f t="shared" si="8"/>
        <v>-76.928758051096565</v>
      </c>
      <c r="AF20" s="20">
        <f t="shared" si="9"/>
        <v>0.95951117997310709</v>
      </c>
      <c r="AG20" s="170"/>
    </row>
    <row r="21" spans="1:33" ht="15.75" customHeight="1">
      <c r="A21" s="192" t="s">
        <v>285</v>
      </c>
      <c r="B21" s="35" t="s">
        <v>78</v>
      </c>
      <c r="C21" s="190" t="s">
        <v>92</v>
      </c>
      <c r="D21" s="190"/>
      <c r="E21" s="35">
        <v>57.73</v>
      </c>
      <c r="F21" s="4">
        <v>3136</v>
      </c>
      <c r="G21" s="4">
        <f t="shared" ref="G21:G26" si="19">E21*F21</f>
        <v>181041.28</v>
      </c>
      <c r="H21" s="21" t="s">
        <v>133</v>
      </c>
      <c r="I21" s="15">
        <v>14</v>
      </c>
      <c r="J21" s="17">
        <v>2000</v>
      </c>
      <c r="K21" s="16">
        <f t="shared" si="1"/>
        <v>142.85714285714286</v>
      </c>
      <c r="L21" s="15">
        <v>14</v>
      </c>
      <c r="M21" s="17">
        <f t="shared" ref="M21:M26" si="20">F21/V21*60</f>
        <v>1919.9999999999998</v>
      </c>
      <c r="N21" s="16">
        <f t="shared" si="3"/>
        <v>137.14285714285714</v>
      </c>
      <c r="O21" s="18">
        <f t="shared" si="4"/>
        <v>0</v>
      </c>
      <c r="P21" s="19">
        <f t="shared" si="5"/>
        <v>-5.7142857142857224</v>
      </c>
      <c r="Q21" s="20">
        <f t="shared" si="6"/>
        <v>0.96</v>
      </c>
      <c r="R21" s="170">
        <f>Q27</f>
        <v>0.9624594891746</v>
      </c>
      <c r="S21" s="27">
        <v>0.20833333333333334</v>
      </c>
      <c r="T21" s="27">
        <v>0.27638888888888891</v>
      </c>
      <c r="U21" s="4"/>
      <c r="V21" s="21">
        <f t="shared" ref="V21:V26" si="21">(T21-S21)*24*60</f>
        <v>98.000000000000014</v>
      </c>
      <c r="W21" s="27"/>
      <c r="X21" s="27"/>
      <c r="Y21" s="27"/>
      <c r="Z21" s="27"/>
      <c r="AA21" s="162"/>
      <c r="AB21" s="162"/>
      <c r="AC21" s="24">
        <v>6</v>
      </c>
      <c r="AD21" s="24"/>
      <c r="AE21" s="18">
        <f t="shared" si="8"/>
        <v>-80.000000000000227</v>
      </c>
      <c r="AF21" s="20">
        <f t="shared" si="9"/>
        <v>0.95999999999999985</v>
      </c>
      <c r="AG21" s="170">
        <f>AF27</f>
        <v>0.9624594891746</v>
      </c>
    </row>
    <row r="22" spans="1:33" ht="15.75" customHeight="1">
      <c r="A22" s="193" t="s">
        <v>285</v>
      </c>
      <c r="B22" s="35" t="s">
        <v>78</v>
      </c>
      <c r="C22" s="190" t="s">
        <v>93</v>
      </c>
      <c r="D22" s="190"/>
      <c r="E22" s="35">
        <v>53.68</v>
      </c>
      <c r="F22" s="4">
        <v>1702</v>
      </c>
      <c r="G22" s="4">
        <f t="shared" si="19"/>
        <v>91363.36</v>
      </c>
      <c r="H22" s="21" t="s">
        <v>133</v>
      </c>
      <c r="I22" s="15">
        <v>16</v>
      </c>
      <c r="J22" s="17">
        <v>2000</v>
      </c>
      <c r="K22" s="16">
        <f t="shared" si="1"/>
        <v>125</v>
      </c>
      <c r="L22" s="15">
        <v>16</v>
      </c>
      <c r="M22" s="17">
        <f t="shared" si="20"/>
        <v>1926.7924528301896</v>
      </c>
      <c r="N22" s="16">
        <f t="shared" si="3"/>
        <v>120.42452830188685</v>
      </c>
      <c r="O22" s="18">
        <f t="shared" si="4"/>
        <v>0</v>
      </c>
      <c r="P22" s="19">
        <f t="shared" si="5"/>
        <v>-4.575471698113148</v>
      </c>
      <c r="Q22" s="20">
        <f t="shared" si="6"/>
        <v>0.96339622641509481</v>
      </c>
      <c r="R22" s="170"/>
      <c r="S22" s="27">
        <v>0.28125</v>
      </c>
      <c r="T22" s="27">
        <v>0.31805555555555554</v>
      </c>
      <c r="U22" s="4">
        <f t="shared" ref="U22:U26" si="22">IF(S22=TIME(17,0,0),"",(S22-T21)*24*60)</f>
        <v>6.9999999999999751</v>
      </c>
      <c r="V22" s="21">
        <f t="shared" si="21"/>
        <v>52.999999999999972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-73.207547169810368</v>
      </c>
      <c r="AF22" s="20">
        <f t="shared" si="9"/>
        <v>0.96339622641509481</v>
      </c>
      <c r="AG22" s="170"/>
    </row>
    <row r="23" spans="1:33" ht="15.75" customHeight="1">
      <c r="A23" s="193" t="s">
        <v>285</v>
      </c>
      <c r="B23" s="35" t="s">
        <v>78</v>
      </c>
      <c r="C23" s="190" t="s">
        <v>94</v>
      </c>
      <c r="D23" s="190"/>
      <c r="E23" s="35">
        <v>50.49</v>
      </c>
      <c r="F23" s="4">
        <v>2362</v>
      </c>
      <c r="G23" s="4">
        <f t="shared" si="19"/>
        <v>119257.38</v>
      </c>
      <c r="H23" s="21" t="s">
        <v>133</v>
      </c>
      <c r="I23" s="15">
        <v>15</v>
      </c>
      <c r="J23" s="17">
        <v>2000</v>
      </c>
      <c r="K23" s="16">
        <f t="shared" si="1"/>
        <v>133.33333333333334</v>
      </c>
      <c r="L23" s="15">
        <v>15</v>
      </c>
      <c r="M23" s="17">
        <f t="shared" si="20"/>
        <v>1915.1351351351336</v>
      </c>
      <c r="N23" s="16">
        <f t="shared" si="3"/>
        <v>127.67567567567558</v>
      </c>
      <c r="O23" s="18">
        <f t="shared" si="4"/>
        <v>0</v>
      </c>
      <c r="P23" s="19">
        <f t="shared" si="5"/>
        <v>-5.6576576576577651</v>
      </c>
      <c r="Q23" s="20">
        <f t="shared" si="6"/>
        <v>0.95756756756756678</v>
      </c>
      <c r="R23" s="170"/>
      <c r="S23" s="27">
        <v>0.70833333333333337</v>
      </c>
      <c r="T23" s="27">
        <v>0.7597222222222223</v>
      </c>
      <c r="U23" s="4" t="str">
        <f t="shared" si="22"/>
        <v/>
      </c>
      <c r="V23" s="21">
        <f t="shared" si="21"/>
        <v>74.000000000000057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-84.864864864866377</v>
      </c>
      <c r="AF23" s="20">
        <f t="shared" si="9"/>
        <v>0.95756756756756678</v>
      </c>
      <c r="AG23" s="170"/>
    </row>
    <row r="24" spans="1:33" ht="15.75" customHeight="1">
      <c r="A24" s="193" t="s">
        <v>285</v>
      </c>
      <c r="B24" s="35" t="s">
        <v>78</v>
      </c>
      <c r="C24" s="190" t="s">
        <v>95</v>
      </c>
      <c r="D24" s="190"/>
      <c r="E24" s="35">
        <v>53.68</v>
      </c>
      <c r="F24" s="4">
        <v>1000</v>
      </c>
      <c r="G24" s="4">
        <f t="shared" si="19"/>
        <v>53680</v>
      </c>
      <c r="H24" s="21">
        <v>2</v>
      </c>
      <c r="I24" s="15">
        <v>16</v>
      </c>
      <c r="J24" s="17">
        <v>1500</v>
      </c>
      <c r="K24" s="16">
        <f t="shared" si="1"/>
        <v>93.75</v>
      </c>
      <c r="L24" s="15">
        <v>16</v>
      </c>
      <c r="M24" s="17">
        <f t="shared" si="20"/>
        <v>1463.4146341463411</v>
      </c>
      <c r="N24" s="16">
        <f t="shared" si="3"/>
        <v>91.463414634146318</v>
      </c>
      <c r="O24" s="18">
        <f t="shared" si="4"/>
        <v>0</v>
      </c>
      <c r="P24" s="19">
        <f t="shared" si="5"/>
        <v>-2.2865853658536821</v>
      </c>
      <c r="Q24" s="20">
        <f t="shared" si="6"/>
        <v>0.97560975609756073</v>
      </c>
      <c r="R24" s="170"/>
      <c r="S24" s="27">
        <v>0.76319444444444451</v>
      </c>
      <c r="T24" s="27">
        <v>0.79166666666666674</v>
      </c>
      <c r="U24" s="4">
        <f t="shared" si="22"/>
        <v>4.9999999999999822</v>
      </c>
      <c r="V24" s="21">
        <f t="shared" si="21"/>
        <v>41.000000000000014</v>
      </c>
      <c r="W24" s="22"/>
      <c r="X24" s="4"/>
      <c r="Y24" s="4"/>
      <c r="Z24" s="4"/>
      <c r="AA24" s="162"/>
      <c r="AB24" s="162"/>
      <c r="AC24" s="24"/>
      <c r="AD24" s="24"/>
      <c r="AE24" s="18">
        <f t="shared" si="8"/>
        <v>-36.585365853658914</v>
      </c>
      <c r="AF24" s="20">
        <f t="shared" si="9"/>
        <v>0.97560975609756073</v>
      </c>
      <c r="AG24" s="170"/>
    </row>
    <row r="25" spans="1:33" ht="15.75" customHeight="1">
      <c r="A25" s="193" t="s">
        <v>285</v>
      </c>
      <c r="B25" s="35" t="s">
        <v>78</v>
      </c>
      <c r="C25" s="190" t="s">
        <v>96</v>
      </c>
      <c r="D25" s="190"/>
      <c r="E25" s="35">
        <v>57.3</v>
      </c>
      <c r="F25" s="4">
        <v>1981</v>
      </c>
      <c r="G25" s="4">
        <f t="shared" si="19"/>
        <v>113511.29999999999</v>
      </c>
      <c r="H25" s="21" t="s">
        <v>133</v>
      </c>
      <c r="I25" s="15">
        <v>13</v>
      </c>
      <c r="J25" s="17">
        <v>2000</v>
      </c>
      <c r="K25" s="16">
        <f t="shared" si="1"/>
        <v>153.84615384615384</v>
      </c>
      <c r="L25" s="15">
        <v>13</v>
      </c>
      <c r="M25" s="17">
        <f t="shared" si="20"/>
        <v>1917.0967741935501</v>
      </c>
      <c r="N25" s="16">
        <f t="shared" si="3"/>
        <v>147.46898263027308</v>
      </c>
      <c r="O25" s="18">
        <f t="shared" si="4"/>
        <v>0</v>
      </c>
      <c r="P25" s="19">
        <f t="shared" si="5"/>
        <v>-6.3771712158807645</v>
      </c>
      <c r="Q25" s="20">
        <f t="shared" si="6"/>
        <v>0.95854838709677503</v>
      </c>
      <c r="R25" s="170"/>
      <c r="S25" s="27">
        <v>0.79722222222222228</v>
      </c>
      <c r="T25" s="27">
        <v>0.84027777777777779</v>
      </c>
      <c r="U25" s="4">
        <f t="shared" si="22"/>
        <v>7.9999999999999716</v>
      </c>
      <c r="V25" s="21">
        <f t="shared" si="21"/>
        <v>61.999999999999943</v>
      </c>
      <c r="W25" s="22">
        <f>T25</f>
        <v>0.84027777777777779</v>
      </c>
      <c r="X25" s="22">
        <f>S26</f>
        <v>0.88055555555555554</v>
      </c>
      <c r="Y25" s="4"/>
      <c r="Z25" s="4"/>
      <c r="AA25" s="162"/>
      <c r="AB25" s="162"/>
      <c r="AC25" s="24"/>
      <c r="AD25" s="24"/>
      <c r="AE25" s="18">
        <f t="shared" si="8"/>
        <v>-82.903225806449882</v>
      </c>
      <c r="AF25" s="20">
        <f t="shared" si="9"/>
        <v>0.95854838709677503</v>
      </c>
      <c r="AG25" s="170"/>
    </row>
    <row r="26" spans="1:33" ht="15.75" customHeight="1">
      <c r="A26" s="193" t="s">
        <v>833</v>
      </c>
      <c r="B26" s="35" t="s">
        <v>78</v>
      </c>
      <c r="C26" s="190" t="s">
        <v>95</v>
      </c>
      <c r="D26" s="190"/>
      <c r="E26" s="35">
        <v>53.68</v>
      </c>
      <c r="F26" s="4">
        <v>939</v>
      </c>
      <c r="G26" s="4">
        <f t="shared" si="19"/>
        <v>50405.52</v>
      </c>
      <c r="H26" s="21" t="s">
        <v>133</v>
      </c>
      <c r="I26" s="15">
        <v>16</v>
      </c>
      <c r="J26" s="17">
        <v>1500</v>
      </c>
      <c r="K26" s="16">
        <f t="shared" si="1"/>
        <v>93.75</v>
      </c>
      <c r="L26" s="15">
        <v>16</v>
      </c>
      <c r="M26" s="17">
        <f t="shared" si="20"/>
        <v>1444.6153846153838</v>
      </c>
      <c r="N26" s="16">
        <f t="shared" si="3"/>
        <v>90.28846153846149</v>
      </c>
      <c r="O26" s="18">
        <f t="shared" si="4"/>
        <v>0</v>
      </c>
      <c r="P26" s="19">
        <f t="shared" si="5"/>
        <v>-3.4615384615385096</v>
      </c>
      <c r="Q26" s="20">
        <f t="shared" si="6"/>
        <v>0.96307692307692261</v>
      </c>
      <c r="R26" s="170"/>
      <c r="S26" s="27">
        <v>0.88055555555555554</v>
      </c>
      <c r="T26" s="27">
        <v>0.90763888888888888</v>
      </c>
      <c r="U26" s="4">
        <f t="shared" si="22"/>
        <v>57.999999999999957</v>
      </c>
      <c r="V26" s="21">
        <f t="shared" si="21"/>
        <v>39.000000000000021</v>
      </c>
      <c r="W26" s="22"/>
      <c r="X26" s="27"/>
      <c r="Y26" s="27"/>
      <c r="Z26" s="27"/>
      <c r="AA26" s="162"/>
      <c r="AB26" s="162"/>
      <c r="AC26" s="24"/>
      <c r="AD26" s="24"/>
      <c r="AE26" s="18">
        <f t="shared" si="8"/>
        <v>-55.384615384616154</v>
      </c>
      <c r="AF26" s="20">
        <f t="shared" si="9"/>
        <v>0.96307692307692261</v>
      </c>
      <c r="AG26" s="170"/>
    </row>
    <row r="27" spans="1:33" ht="15.75" customHeight="1">
      <c r="A27" s="193" t="s">
        <v>833</v>
      </c>
      <c r="B27" s="35" t="s">
        <v>48</v>
      </c>
      <c r="C27" s="171"/>
      <c r="D27" s="171"/>
      <c r="E27" s="36"/>
      <c r="F27" s="4"/>
      <c r="G27" s="4"/>
      <c r="H27" s="4"/>
      <c r="I27" s="29">
        <v>15</v>
      </c>
      <c r="J27" s="17">
        <v>1833.3333333333333</v>
      </c>
      <c r="K27" s="16">
        <f t="shared" si="1"/>
        <v>122.22222222222221</v>
      </c>
      <c r="L27" s="29">
        <v>15</v>
      </c>
      <c r="M27" s="17">
        <f>AVERAGE(M21:M26)</f>
        <v>1764.5090634867665</v>
      </c>
      <c r="N27" s="16">
        <f t="shared" si="3"/>
        <v>117.63393756578444</v>
      </c>
      <c r="O27" s="18">
        <f t="shared" si="4"/>
        <v>0</v>
      </c>
      <c r="P27" s="19">
        <f t="shared" si="5"/>
        <v>-4.5882846564377786</v>
      </c>
      <c r="Q27" s="20">
        <f t="shared" si="6"/>
        <v>0.9624594891746</v>
      </c>
      <c r="R27" s="170"/>
      <c r="S27" s="27"/>
      <c r="T27" s="27"/>
      <c r="U27" s="16"/>
      <c r="V27" s="21"/>
      <c r="W27" s="16"/>
      <c r="X27" s="16"/>
      <c r="Y27" s="30">
        <f>SUM(Y21:Y26)</f>
        <v>0</v>
      </c>
      <c r="Z27" s="30">
        <f>SUM(Z21:Z26)</f>
        <v>0</v>
      </c>
      <c r="AA27" s="166"/>
      <c r="AB27" s="166"/>
      <c r="AC27" s="30">
        <v>6</v>
      </c>
      <c r="AD27" s="30">
        <f>SUM(AD21:AD26)</f>
        <v>0</v>
      </c>
      <c r="AE27" s="18">
        <f t="shared" si="8"/>
        <v>-68.824269846566722</v>
      </c>
      <c r="AF27" s="20">
        <f t="shared" si="9"/>
        <v>0.9624594891746</v>
      </c>
      <c r="AG27" s="170"/>
    </row>
    <row r="28" spans="1:33" ht="15.75" customHeight="1">
      <c r="A28" s="191" t="s">
        <v>834</v>
      </c>
      <c r="B28" s="35" t="s">
        <v>97</v>
      </c>
      <c r="C28" s="190" t="s">
        <v>98</v>
      </c>
      <c r="D28" s="190"/>
      <c r="E28" s="35">
        <v>31.29</v>
      </c>
      <c r="F28" s="4">
        <v>6500</v>
      </c>
      <c r="G28" s="4">
        <f t="shared" ref="G28:G36" si="23">E28*F28</f>
        <v>203385</v>
      </c>
      <c r="H28" s="21">
        <v>2</v>
      </c>
      <c r="I28" s="15">
        <v>18</v>
      </c>
      <c r="J28" s="17">
        <v>2400</v>
      </c>
      <c r="K28" s="16">
        <f t="shared" si="1"/>
        <v>133.33333333333334</v>
      </c>
      <c r="L28" s="15">
        <v>18</v>
      </c>
      <c r="M28" s="17">
        <f t="shared" ref="M28:M36" si="24">F28/V28*60</f>
        <v>2294.1176470588234</v>
      </c>
      <c r="N28" s="16">
        <f t="shared" si="3"/>
        <v>127.45098039215685</v>
      </c>
      <c r="O28" s="18">
        <f t="shared" si="4"/>
        <v>0</v>
      </c>
      <c r="P28" s="19">
        <f t="shared" si="5"/>
        <v>-5.8823529411764923</v>
      </c>
      <c r="Q28" s="20">
        <f t="shared" si="6"/>
        <v>0.95588235294117629</v>
      </c>
      <c r="R28" s="170">
        <f>Q37</f>
        <v>0.95760800853670114</v>
      </c>
      <c r="S28" s="27">
        <v>8.3333333333333329E-2</v>
      </c>
      <c r="T28" s="27">
        <v>0.2013888888888889</v>
      </c>
      <c r="U28" s="4"/>
      <c r="V28" s="21">
        <f t="shared" ref="V28:V36" si="25">(T28-S28)*24*60</f>
        <v>170</v>
      </c>
      <c r="W28" s="22">
        <f>T28</f>
        <v>0.2013888888888889</v>
      </c>
      <c r="X28" s="22">
        <f>S29</f>
        <v>0.21944444444444444</v>
      </c>
      <c r="Y28" s="22"/>
      <c r="Z28" s="22"/>
      <c r="AA28" s="162"/>
      <c r="AB28" s="162"/>
      <c r="AC28" s="24">
        <v>9</v>
      </c>
      <c r="AD28" s="24"/>
      <c r="AE28" s="18">
        <f t="shared" si="8"/>
        <v>-105.88235294117658</v>
      </c>
      <c r="AF28" s="20">
        <f t="shared" si="9"/>
        <v>0.95588235294117641</v>
      </c>
      <c r="AG28" s="170">
        <f>AF37</f>
        <v>0.95760800853670103</v>
      </c>
    </row>
    <row r="29" spans="1:33" ht="15.75" customHeight="1">
      <c r="A29" s="191" t="s">
        <v>834</v>
      </c>
      <c r="B29" s="35" t="s">
        <v>97</v>
      </c>
      <c r="C29" s="190" t="s">
        <v>99</v>
      </c>
      <c r="D29" s="190"/>
      <c r="E29" s="35">
        <v>25.98</v>
      </c>
      <c r="F29" s="4">
        <v>3608</v>
      </c>
      <c r="G29" s="4">
        <f t="shared" si="23"/>
        <v>93735.84</v>
      </c>
      <c r="H29" s="21" t="s">
        <v>133</v>
      </c>
      <c r="I29" s="15">
        <v>21</v>
      </c>
      <c r="J29" s="17">
        <v>2400</v>
      </c>
      <c r="K29" s="16">
        <f t="shared" si="1"/>
        <v>114.28571428571429</v>
      </c>
      <c r="L29" s="15">
        <v>21</v>
      </c>
      <c r="M29" s="17">
        <f t="shared" si="24"/>
        <v>2302.978723404256</v>
      </c>
      <c r="N29" s="16">
        <f t="shared" si="3"/>
        <v>109.66565349544076</v>
      </c>
      <c r="O29" s="18">
        <f t="shared" si="4"/>
        <v>0</v>
      </c>
      <c r="P29" s="19">
        <f t="shared" si="5"/>
        <v>-4.6200607902735271</v>
      </c>
      <c r="Q29" s="20">
        <f t="shared" si="6"/>
        <v>0.9595744680851066</v>
      </c>
      <c r="R29" s="170"/>
      <c r="S29" s="27">
        <v>0.21944444444444444</v>
      </c>
      <c r="T29" s="27">
        <v>0.28472222222222221</v>
      </c>
      <c r="U29" s="4">
        <f t="shared" ref="U29:U36" si="26">(S29-T28)*24*60</f>
        <v>25.999999999999986</v>
      </c>
      <c r="V29" s="21">
        <f t="shared" si="25"/>
        <v>93.999999999999986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-97.021276595743984</v>
      </c>
      <c r="AF29" s="20">
        <f t="shared" si="9"/>
        <v>0.95957446808510671</v>
      </c>
      <c r="AG29" s="170"/>
    </row>
    <row r="30" spans="1:33" ht="15.75" customHeight="1">
      <c r="A30" s="191" t="s">
        <v>834</v>
      </c>
      <c r="B30" s="35" t="s">
        <v>97</v>
      </c>
      <c r="C30" s="190" t="s">
        <v>100</v>
      </c>
      <c r="D30" s="190"/>
      <c r="E30" s="35">
        <v>26.2</v>
      </c>
      <c r="F30" s="4">
        <v>3600</v>
      </c>
      <c r="G30" s="4">
        <f t="shared" si="23"/>
        <v>94320</v>
      </c>
      <c r="H30" s="21">
        <v>2</v>
      </c>
      <c r="I30" s="15">
        <v>20</v>
      </c>
      <c r="J30" s="17">
        <v>2400</v>
      </c>
      <c r="K30" s="16">
        <f t="shared" si="1"/>
        <v>120</v>
      </c>
      <c r="L30" s="15">
        <v>20</v>
      </c>
      <c r="M30" s="17">
        <f t="shared" si="24"/>
        <v>2297.872340425532</v>
      </c>
      <c r="N30" s="16">
        <f t="shared" si="3"/>
        <v>114.8936170212766</v>
      </c>
      <c r="O30" s="18">
        <f t="shared" si="4"/>
        <v>0</v>
      </c>
      <c r="P30" s="19">
        <f t="shared" si="5"/>
        <v>-5.1063829787234027</v>
      </c>
      <c r="Q30" s="20">
        <f t="shared" si="6"/>
        <v>0.95744680851063835</v>
      </c>
      <c r="R30" s="170"/>
      <c r="S30" s="27">
        <v>0.28819444444444442</v>
      </c>
      <c r="T30" s="27">
        <v>0.35347222222222219</v>
      </c>
      <c r="U30" s="4">
        <f t="shared" si="26"/>
        <v>4.9999999999999822</v>
      </c>
      <c r="V30" s="21">
        <f t="shared" si="25"/>
        <v>93.999999999999986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-102.127659574468</v>
      </c>
      <c r="AF30" s="20">
        <f t="shared" si="9"/>
        <v>0.95744680851063835</v>
      </c>
      <c r="AG30" s="170"/>
    </row>
    <row r="31" spans="1:33" ht="15.75" customHeight="1">
      <c r="A31" s="191" t="s">
        <v>834</v>
      </c>
      <c r="B31" s="35" t="s">
        <v>97</v>
      </c>
      <c r="C31" s="190" t="s">
        <v>101</v>
      </c>
      <c r="D31" s="190"/>
      <c r="E31" s="35">
        <v>25.99</v>
      </c>
      <c r="F31" s="4">
        <v>2800</v>
      </c>
      <c r="G31" s="4">
        <f t="shared" si="23"/>
        <v>72772</v>
      </c>
      <c r="H31" s="21">
        <v>2</v>
      </c>
      <c r="I31" s="15">
        <v>14</v>
      </c>
      <c r="J31" s="17">
        <v>2400</v>
      </c>
      <c r="K31" s="16">
        <f t="shared" si="1"/>
        <v>171.42857142857142</v>
      </c>
      <c r="L31" s="15">
        <v>14</v>
      </c>
      <c r="M31" s="17">
        <f t="shared" si="24"/>
        <v>2301.3698630136987</v>
      </c>
      <c r="N31" s="16">
        <f t="shared" si="3"/>
        <v>164.38356164383563</v>
      </c>
      <c r="O31" s="18">
        <f t="shared" si="4"/>
        <v>0</v>
      </c>
      <c r="P31" s="19">
        <f t="shared" si="5"/>
        <v>-7.0450097847357824</v>
      </c>
      <c r="Q31" s="20">
        <f t="shared" si="6"/>
        <v>0.95890410958904126</v>
      </c>
      <c r="R31" s="170"/>
      <c r="S31" s="27">
        <v>0.35902777777777772</v>
      </c>
      <c r="T31" s="27">
        <v>0.40972222222222215</v>
      </c>
      <c r="U31" s="4">
        <f t="shared" si="26"/>
        <v>7.9999999999999716</v>
      </c>
      <c r="V31" s="21">
        <f t="shared" si="25"/>
        <v>72.999999999999986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-98.630136986301295</v>
      </c>
      <c r="AF31" s="20">
        <f t="shared" si="9"/>
        <v>0.95890410958904115</v>
      </c>
      <c r="AG31" s="170"/>
    </row>
    <row r="32" spans="1:33" ht="15.75" customHeight="1">
      <c r="A32" s="191" t="s">
        <v>834</v>
      </c>
      <c r="B32" s="35" t="s">
        <v>97</v>
      </c>
      <c r="C32" s="190" t="s">
        <v>102</v>
      </c>
      <c r="D32" s="190"/>
      <c r="E32" s="35">
        <v>26.18</v>
      </c>
      <c r="F32" s="4">
        <v>2272</v>
      </c>
      <c r="G32" s="4">
        <f t="shared" si="23"/>
        <v>59480.959999999999</v>
      </c>
      <c r="H32" s="21" t="s">
        <v>133</v>
      </c>
      <c r="I32" s="15">
        <v>19</v>
      </c>
      <c r="J32" s="17">
        <v>2400</v>
      </c>
      <c r="K32" s="16">
        <f t="shared" si="1"/>
        <v>126.31578947368421</v>
      </c>
      <c r="L32" s="15">
        <v>19</v>
      </c>
      <c r="M32" s="17">
        <f t="shared" si="24"/>
        <v>2310.5084745762701</v>
      </c>
      <c r="N32" s="16">
        <f t="shared" si="3"/>
        <v>121.60570918822475</v>
      </c>
      <c r="O32" s="18">
        <f t="shared" si="4"/>
        <v>0</v>
      </c>
      <c r="P32" s="19">
        <f t="shared" si="5"/>
        <v>-4.7100802854594548</v>
      </c>
      <c r="Q32" s="20">
        <f t="shared" si="6"/>
        <v>0.96271186440677936</v>
      </c>
      <c r="R32" s="170"/>
      <c r="S32" s="27">
        <v>0.41319444444444436</v>
      </c>
      <c r="T32" s="27">
        <v>0.45416666666666661</v>
      </c>
      <c r="U32" s="4">
        <f t="shared" si="26"/>
        <v>4.9999999999999822</v>
      </c>
      <c r="V32" s="21">
        <f t="shared" si="25"/>
        <v>59.000000000000028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-89.491525423729854</v>
      </c>
      <c r="AF32" s="20">
        <f t="shared" si="9"/>
        <v>0.96271186440677925</v>
      </c>
      <c r="AG32" s="170"/>
    </row>
    <row r="33" spans="1:33" ht="15.75" customHeight="1">
      <c r="A33" s="191" t="s">
        <v>834</v>
      </c>
      <c r="B33" s="35" t="s">
        <v>97</v>
      </c>
      <c r="C33" s="190" t="s">
        <v>106</v>
      </c>
      <c r="D33" s="190"/>
      <c r="E33" s="35">
        <v>20.21</v>
      </c>
      <c r="F33" s="4">
        <v>3436</v>
      </c>
      <c r="G33" s="4">
        <f t="shared" si="23"/>
        <v>69441.56</v>
      </c>
      <c r="H33" s="21" t="s">
        <v>133</v>
      </c>
      <c r="I33" s="15">
        <v>15</v>
      </c>
      <c r="J33" s="17">
        <v>2400</v>
      </c>
      <c r="K33" s="16">
        <f t="shared" si="1"/>
        <v>160</v>
      </c>
      <c r="L33" s="15">
        <v>15</v>
      </c>
      <c r="M33" s="17">
        <f t="shared" si="24"/>
        <v>2290.6666666666665</v>
      </c>
      <c r="N33" s="16">
        <f t="shared" si="3"/>
        <v>152.71111111111111</v>
      </c>
      <c r="O33" s="18">
        <f t="shared" si="4"/>
        <v>0</v>
      </c>
      <c r="P33" s="19">
        <f t="shared" si="5"/>
        <v>-7.2888888888888914</v>
      </c>
      <c r="Q33" s="20">
        <f t="shared" si="6"/>
        <v>0.95444444444444443</v>
      </c>
      <c r="R33" s="170"/>
      <c r="S33" s="27">
        <v>0.4590277777777777</v>
      </c>
      <c r="T33" s="27">
        <v>0.5215277777777777</v>
      </c>
      <c r="U33" s="4">
        <f t="shared" si="26"/>
        <v>6.9999999999999751</v>
      </c>
      <c r="V33" s="21">
        <f t="shared" si="25"/>
        <v>90</v>
      </c>
      <c r="W33" s="22">
        <f>T33</f>
        <v>0.5215277777777777</v>
      </c>
      <c r="X33" s="22">
        <f>S34</f>
        <v>0.56249999999999989</v>
      </c>
      <c r="Y33" s="22"/>
      <c r="Z33" s="22"/>
      <c r="AA33" s="162"/>
      <c r="AB33" s="162"/>
      <c r="AC33" s="24"/>
      <c r="AD33" s="24"/>
      <c r="AE33" s="18">
        <f t="shared" si="8"/>
        <v>-109.33333333333348</v>
      </c>
      <c r="AF33" s="20">
        <f t="shared" si="9"/>
        <v>0.95444444444444443</v>
      </c>
      <c r="AG33" s="170"/>
    </row>
    <row r="34" spans="1:33" ht="15.75" customHeight="1">
      <c r="A34" s="191" t="s">
        <v>834</v>
      </c>
      <c r="B34" s="35" t="s">
        <v>97</v>
      </c>
      <c r="C34" s="190" t="s">
        <v>100</v>
      </c>
      <c r="D34" s="190"/>
      <c r="E34" s="35">
        <v>26.2</v>
      </c>
      <c r="F34" s="4">
        <v>2751</v>
      </c>
      <c r="G34" s="4">
        <f t="shared" si="23"/>
        <v>72076.2</v>
      </c>
      <c r="H34" s="21" t="s">
        <v>133</v>
      </c>
      <c r="I34" s="15">
        <v>20</v>
      </c>
      <c r="J34" s="17">
        <v>2400</v>
      </c>
      <c r="K34" s="16">
        <f t="shared" si="1"/>
        <v>120</v>
      </c>
      <c r="L34" s="15">
        <v>20</v>
      </c>
      <c r="M34" s="17">
        <f t="shared" si="24"/>
        <v>2292.4999999999982</v>
      </c>
      <c r="N34" s="16">
        <f t="shared" si="3"/>
        <v>114.62499999999991</v>
      </c>
      <c r="O34" s="18">
        <f t="shared" si="4"/>
        <v>0</v>
      </c>
      <c r="P34" s="19">
        <f t="shared" si="5"/>
        <v>-5.3750000000000853</v>
      </c>
      <c r="Q34" s="20">
        <f t="shared" si="6"/>
        <v>0.95520833333333266</v>
      </c>
      <c r="R34" s="170"/>
      <c r="S34" s="27">
        <v>0.56249999999999989</v>
      </c>
      <c r="T34" s="27">
        <v>0.61249999999999993</v>
      </c>
      <c r="U34" s="4">
        <f t="shared" si="26"/>
        <v>58.99999999999995</v>
      </c>
      <c r="V34" s="21">
        <f t="shared" si="25"/>
        <v>72.000000000000057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-107.50000000000182</v>
      </c>
      <c r="AF34" s="20">
        <f t="shared" si="9"/>
        <v>0.95520833333333255</v>
      </c>
      <c r="AG34" s="170"/>
    </row>
    <row r="35" spans="1:33" ht="15.75" customHeight="1">
      <c r="A35" s="191" t="s">
        <v>834</v>
      </c>
      <c r="B35" s="35" t="s">
        <v>97</v>
      </c>
      <c r="C35" s="190" t="s">
        <v>98</v>
      </c>
      <c r="D35" s="190"/>
      <c r="E35" s="35">
        <v>31.29</v>
      </c>
      <c r="F35" s="4">
        <v>4629</v>
      </c>
      <c r="G35" s="4">
        <f t="shared" si="23"/>
        <v>144841.41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4"/>
        <v>2295.3719008264452</v>
      </c>
      <c r="N35" s="16">
        <f t="shared" si="3"/>
        <v>127.52066115702473</v>
      </c>
      <c r="O35" s="18">
        <f t="shared" si="4"/>
        <v>0</v>
      </c>
      <c r="P35" s="19">
        <f t="shared" si="5"/>
        <v>-5.8126721763086096</v>
      </c>
      <c r="Q35" s="20">
        <f t="shared" si="6"/>
        <v>0.95640495867768538</v>
      </c>
      <c r="R35" s="170"/>
      <c r="S35" s="27">
        <v>0.61666666666666659</v>
      </c>
      <c r="T35" s="27">
        <v>0.7006944444444444</v>
      </c>
      <c r="U35" s="4">
        <f t="shared" si="26"/>
        <v>5.9999999999999787</v>
      </c>
      <c r="V35" s="21">
        <f t="shared" si="25"/>
        <v>121.00000000000006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-104.6280991735548</v>
      </c>
      <c r="AF35" s="20">
        <f t="shared" si="9"/>
        <v>0.95640495867768549</v>
      </c>
      <c r="AG35" s="170"/>
    </row>
    <row r="36" spans="1:33" ht="15.75" customHeight="1">
      <c r="A36" s="191" t="s">
        <v>834</v>
      </c>
      <c r="B36" s="35" t="s">
        <v>97</v>
      </c>
      <c r="C36" s="215" t="s">
        <v>101</v>
      </c>
      <c r="D36" s="216"/>
      <c r="E36" s="35">
        <v>25.99</v>
      </c>
      <c r="F36" s="4">
        <v>2184</v>
      </c>
      <c r="G36" s="4">
        <f t="shared" si="23"/>
        <v>56762.159999999996</v>
      </c>
      <c r="H36" s="21" t="s">
        <v>133</v>
      </c>
      <c r="I36" s="15">
        <v>14</v>
      </c>
      <c r="J36" s="17">
        <v>2400</v>
      </c>
      <c r="K36" s="16">
        <f t="shared" si="1"/>
        <v>171.42857142857142</v>
      </c>
      <c r="L36" s="15">
        <v>14</v>
      </c>
      <c r="M36" s="17">
        <f t="shared" si="24"/>
        <v>2298.9473684210543</v>
      </c>
      <c r="N36" s="16">
        <f t="shared" si="3"/>
        <v>164.21052631578959</v>
      </c>
      <c r="O36" s="18">
        <f t="shared" si="4"/>
        <v>0</v>
      </c>
      <c r="P36" s="19">
        <f t="shared" si="5"/>
        <v>-7.218045112781823</v>
      </c>
      <c r="Q36" s="20">
        <f t="shared" si="6"/>
        <v>0.95789473684210602</v>
      </c>
      <c r="R36" s="170"/>
      <c r="S36" s="27">
        <v>0.70624999999999993</v>
      </c>
      <c r="T36" s="27">
        <v>0.74583333333333324</v>
      </c>
      <c r="U36" s="4">
        <f t="shared" si="26"/>
        <v>7.9999999999999716</v>
      </c>
      <c r="V36" s="21">
        <f t="shared" si="25"/>
        <v>56.999999999999957</v>
      </c>
      <c r="W36" s="22"/>
      <c r="X36" s="22"/>
      <c r="Y36" s="25"/>
      <c r="Z36" s="25"/>
      <c r="AA36" s="176"/>
      <c r="AB36" s="177"/>
      <c r="AC36" s="24"/>
      <c r="AD36" s="24"/>
      <c r="AE36" s="18">
        <f t="shared" si="8"/>
        <v>-101.05263157894569</v>
      </c>
      <c r="AF36" s="20">
        <f t="shared" si="9"/>
        <v>0.95789473684210591</v>
      </c>
      <c r="AG36" s="170"/>
    </row>
    <row r="37" spans="1:33" ht="15.75" customHeight="1">
      <c r="A37" s="191" t="s">
        <v>834</v>
      </c>
      <c r="B37" s="35" t="s">
        <v>835</v>
      </c>
      <c r="C37" s="171"/>
      <c r="D37" s="171"/>
      <c r="E37" s="36"/>
      <c r="F37" s="4"/>
      <c r="G37" s="4"/>
      <c r="H37" s="4"/>
      <c r="I37" s="29">
        <v>17.666666666666668</v>
      </c>
      <c r="J37" s="17">
        <v>2400</v>
      </c>
      <c r="K37" s="16">
        <f t="shared" si="1"/>
        <v>135.84905660377356</v>
      </c>
      <c r="L37" s="29">
        <v>17.666666666666668</v>
      </c>
      <c r="M37" s="17">
        <f>AVERAGE(M28:M36)</f>
        <v>2298.2592204880825</v>
      </c>
      <c r="N37" s="16">
        <f t="shared" si="3"/>
        <v>130.09014455592919</v>
      </c>
      <c r="O37" s="18">
        <f t="shared" si="4"/>
        <v>0</v>
      </c>
      <c r="P37" s="19">
        <f t="shared" si="5"/>
        <v>-5.758912047844376</v>
      </c>
      <c r="Q37" s="20">
        <f t="shared" si="6"/>
        <v>0.95760800853670114</v>
      </c>
      <c r="R37" s="170"/>
      <c r="S37" s="27"/>
      <c r="T37" s="27"/>
      <c r="U37" s="4"/>
      <c r="V37" s="21"/>
      <c r="W37" s="4"/>
      <c r="X37" s="4"/>
      <c r="Y37" s="30">
        <f>SUM(Y28:Y36)</f>
        <v>0</v>
      </c>
      <c r="Z37" s="30">
        <f>SUM(Z28:Z36)</f>
        <v>0</v>
      </c>
      <c r="AA37" s="166"/>
      <c r="AB37" s="166"/>
      <c r="AC37" s="30">
        <v>9</v>
      </c>
      <c r="AD37" s="30">
        <f>SUM(AD28:AD36)</f>
        <v>0</v>
      </c>
      <c r="AE37" s="18">
        <f t="shared" si="8"/>
        <v>-101.74077951191748</v>
      </c>
      <c r="AF37" s="20">
        <f t="shared" si="9"/>
        <v>0.95760800853670103</v>
      </c>
      <c r="AG37" s="170"/>
    </row>
    <row r="38" spans="1:33" ht="15.75" customHeight="1">
      <c r="A38" s="188" t="s">
        <v>836</v>
      </c>
      <c r="B38" s="35" t="s">
        <v>97</v>
      </c>
      <c r="C38" s="163" t="s">
        <v>103</v>
      </c>
      <c r="D38" s="163"/>
      <c r="E38" s="35">
        <v>26.2</v>
      </c>
      <c r="F38" s="4">
        <v>4800</v>
      </c>
      <c r="G38" s="4">
        <f t="shared" ref="G38:G46" si="27">E38*F38</f>
        <v>125760</v>
      </c>
      <c r="H38" s="21">
        <v>2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ref="M38:M46" si="28">F38/V38*60</f>
        <v>2285.7142857142858</v>
      </c>
      <c r="N38" s="16">
        <f t="shared" si="3"/>
        <v>126.98412698412699</v>
      </c>
      <c r="O38" s="18">
        <f t="shared" si="4"/>
        <v>0</v>
      </c>
      <c r="P38" s="19">
        <f t="shared" si="5"/>
        <v>-6.3492063492063551</v>
      </c>
      <c r="Q38" s="20">
        <f t="shared" si="6"/>
        <v>0.95238095238095233</v>
      </c>
      <c r="R38" s="170">
        <f>Q47</f>
        <v>0.95587609832062648</v>
      </c>
      <c r="S38" s="27">
        <v>8.3333333333333329E-2</v>
      </c>
      <c r="T38" s="27">
        <v>0.17083333333333334</v>
      </c>
      <c r="U38" s="4"/>
      <c r="V38" s="21">
        <f t="shared" ref="V38:V46" si="29">(T38-S38)*24*60</f>
        <v>126</v>
      </c>
      <c r="W38" s="27">
        <f>T38</f>
        <v>0.17083333333333334</v>
      </c>
      <c r="X38" s="27">
        <f>S39</f>
        <v>0.18958333333333333</v>
      </c>
      <c r="Y38" s="27"/>
      <c r="Z38" s="27"/>
      <c r="AA38" s="162"/>
      <c r="AB38" s="162"/>
      <c r="AC38" s="24">
        <v>9</v>
      </c>
      <c r="AD38" s="24"/>
      <c r="AE38" s="18">
        <f t="shared" si="8"/>
        <v>-114.28571428571422</v>
      </c>
      <c r="AF38" s="20">
        <f t="shared" si="9"/>
        <v>0.95238095238095244</v>
      </c>
      <c r="AG38" s="170">
        <f>AF47</f>
        <v>0.95587609832062637</v>
      </c>
    </row>
    <row r="39" spans="1:33" ht="15.75" customHeight="1">
      <c r="A39" s="188" t="s">
        <v>836</v>
      </c>
      <c r="B39" s="35" t="s">
        <v>97</v>
      </c>
      <c r="C39" s="163" t="s">
        <v>104</v>
      </c>
      <c r="D39" s="163"/>
      <c r="E39" s="35">
        <v>20.52</v>
      </c>
      <c r="F39" s="4">
        <v>2800</v>
      </c>
      <c r="G39" s="4">
        <f t="shared" si="27"/>
        <v>57456</v>
      </c>
      <c r="H39" s="21">
        <v>2</v>
      </c>
      <c r="I39" s="15">
        <v>18</v>
      </c>
      <c r="J39" s="17">
        <v>2400</v>
      </c>
      <c r="K39" s="16">
        <f t="shared" si="1"/>
        <v>133.33333333333334</v>
      </c>
      <c r="L39" s="15">
        <v>18</v>
      </c>
      <c r="M39" s="17">
        <f t="shared" si="28"/>
        <v>2301.3698630136987</v>
      </c>
      <c r="N39" s="16">
        <f t="shared" si="3"/>
        <v>127.85388127853882</v>
      </c>
      <c r="O39" s="18">
        <f t="shared" si="4"/>
        <v>0</v>
      </c>
      <c r="P39" s="19">
        <f t="shared" si="5"/>
        <v>-5.4794520547945211</v>
      </c>
      <c r="Q39" s="20">
        <f t="shared" si="6"/>
        <v>0.95890410958904104</v>
      </c>
      <c r="R39" s="170"/>
      <c r="S39" s="27">
        <v>0.18958333333333333</v>
      </c>
      <c r="T39" s="27">
        <v>0.24027777777777776</v>
      </c>
      <c r="U39" s="4">
        <f t="shared" ref="U39:U46" si="30">(S39-T38)*24*60</f>
        <v>26.999999999999986</v>
      </c>
      <c r="V39" s="21">
        <f t="shared" si="29"/>
        <v>72.999999999999986</v>
      </c>
      <c r="W39" s="4"/>
      <c r="X39" s="4"/>
      <c r="Y39" s="4"/>
      <c r="Z39" s="4"/>
      <c r="AA39" s="162"/>
      <c r="AB39" s="162"/>
      <c r="AC39" s="24"/>
      <c r="AD39" s="24"/>
      <c r="AE39" s="18">
        <f t="shared" si="8"/>
        <v>-98.630136986301295</v>
      </c>
      <c r="AF39" s="20">
        <f t="shared" si="9"/>
        <v>0.95890410958904115</v>
      </c>
      <c r="AG39" s="170"/>
    </row>
    <row r="40" spans="1:33">
      <c r="A40" s="189" t="s">
        <v>836</v>
      </c>
      <c r="B40" s="35" t="s">
        <v>97</v>
      </c>
      <c r="C40" s="163" t="s">
        <v>105</v>
      </c>
      <c r="D40" s="163"/>
      <c r="E40" s="35">
        <v>26.39</v>
      </c>
      <c r="F40" s="4">
        <v>4200</v>
      </c>
      <c r="G40" s="4">
        <f t="shared" si="27"/>
        <v>110838</v>
      </c>
      <c r="H40" s="21">
        <v>2</v>
      </c>
      <c r="I40" s="15">
        <v>19</v>
      </c>
      <c r="J40" s="17">
        <v>2400</v>
      </c>
      <c r="K40" s="16">
        <f t="shared" si="1"/>
        <v>126.31578947368421</v>
      </c>
      <c r="L40" s="15">
        <v>19</v>
      </c>
      <c r="M40" s="17">
        <f t="shared" si="28"/>
        <v>2290.9090909090914</v>
      </c>
      <c r="N40" s="16">
        <f t="shared" si="3"/>
        <v>120.57416267942587</v>
      </c>
      <c r="O40" s="18">
        <f t="shared" si="4"/>
        <v>0</v>
      </c>
      <c r="P40" s="19">
        <f t="shared" si="5"/>
        <v>-5.7416267942583374</v>
      </c>
      <c r="Q40" s="20">
        <f t="shared" si="6"/>
        <v>0.95454545454545481</v>
      </c>
      <c r="R40" s="170"/>
      <c r="S40" s="27">
        <v>0.24513888888888888</v>
      </c>
      <c r="T40" s="27">
        <v>0.32152777777777775</v>
      </c>
      <c r="U40" s="4">
        <f t="shared" si="30"/>
        <v>7.0000000000000151</v>
      </c>
      <c r="V40" s="21">
        <f t="shared" si="29"/>
        <v>109.99999999999997</v>
      </c>
      <c r="W40" s="4"/>
      <c r="X40" s="4"/>
      <c r="Y40" s="4"/>
      <c r="Z40" s="4"/>
      <c r="AA40" s="162"/>
      <c r="AB40" s="162"/>
      <c r="AC40" s="24"/>
      <c r="AD40" s="24"/>
      <c r="AE40" s="18">
        <f t="shared" si="8"/>
        <v>-109.09090909090855</v>
      </c>
      <c r="AF40" s="20">
        <f t="shared" si="9"/>
        <v>0.95454545454545481</v>
      </c>
      <c r="AG40" s="170"/>
    </row>
    <row r="41" spans="1:33">
      <c r="A41" s="189" t="s">
        <v>836</v>
      </c>
      <c r="B41" s="35" t="s">
        <v>97</v>
      </c>
      <c r="C41" s="163" t="s">
        <v>107</v>
      </c>
      <c r="D41" s="163"/>
      <c r="E41" s="35">
        <v>20.52</v>
      </c>
      <c r="F41" s="4">
        <v>3466</v>
      </c>
      <c r="G41" s="4">
        <f t="shared" si="27"/>
        <v>71122.319999999992</v>
      </c>
      <c r="H41" s="21" t="s">
        <v>133</v>
      </c>
      <c r="I41" s="15">
        <v>18</v>
      </c>
      <c r="J41" s="17">
        <v>2400</v>
      </c>
      <c r="K41" s="16">
        <f t="shared" si="1"/>
        <v>133.33333333333334</v>
      </c>
      <c r="L41" s="15">
        <v>18</v>
      </c>
      <c r="M41" s="17">
        <f t="shared" si="28"/>
        <v>2285.2747252747254</v>
      </c>
      <c r="N41" s="16">
        <f t="shared" si="3"/>
        <v>126.95970695970696</v>
      </c>
      <c r="O41" s="18">
        <f t="shared" si="4"/>
        <v>0</v>
      </c>
      <c r="P41" s="19">
        <f t="shared" si="5"/>
        <v>-6.3736263736263794</v>
      </c>
      <c r="Q41" s="20">
        <f t="shared" si="6"/>
        <v>0.95219780219780215</v>
      </c>
      <c r="R41" s="170"/>
      <c r="S41" s="27">
        <v>0.3256944444444444</v>
      </c>
      <c r="T41" s="27">
        <v>0.38888888888888884</v>
      </c>
      <c r="U41" s="4">
        <f t="shared" si="30"/>
        <v>5.9999999999999787</v>
      </c>
      <c r="V41" s="21">
        <f t="shared" si="29"/>
        <v>91</v>
      </c>
      <c r="W41" s="22"/>
      <c r="X41" s="22"/>
      <c r="Y41" s="22"/>
      <c r="Z41" s="22"/>
      <c r="AA41" s="162"/>
      <c r="AB41" s="162"/>
      <c r="AC41" s="24"/>
      <c r="AD41" s="24"/>
      <c r="AE41" s="18">
        <f t="shared" si="8"/>
        <v>-114.72527472527463</v>
      </c>
      <c r="AF41" s="20">
        <f t="shared" si="9"/>
        <v>0.95219780219780226</v>
      </c>
      <c r="AG41" s="170"/>
    </row>
    <row r="42" spans="1:33">
      <c r="A42" s="189" t="s">
        <v>836</v>
      </c>
      <c r="B42" s="35" t="s">
        <v>97</v>
      </c>
      <c r="C42" s="163" t="s">
        <v>304</v>
      </c>
      <c r="D42" s="163"/>
      <c r="E42" s="35">
        <v>22.69</v>
      </c>
      <c r="F42" s="4">
        <v>5400</v>
      </c>
      <c r="G42" s="4">
        <f t="shared" si="27"/>
        <v>122526</v>
      </c>
      <c r="H42" s="21">
        <v>2</v>
      </c>
      <c r="I42" s="15">
        <v>15</v>
      </c>
      <c r="J42" s="17">
        <v>2400</v>
      </c>
      <c r="K42" s="16">
        <f t="shared" si="1"/>
        <v>160</v>
      </c>
      <c r="L42" s="15">
        <v>15</v>
      </c>
      <c r="M42" s="17">
        <f t="shared" si="28"/>
        <v>2281.6901408450708</v>
      </c>
      <c r="N42" s="16">
        <f t="shared" si="3"/>
        <v>152.11267605633805</v>
      </c>
      <c r="O42" s="18">
        <f t="shared" si="4"/>
        <v>0</v>
      </c>
      <c r="P42" s="19">
        <f t="shared" si="5"/>
        <v>-7.8873239436619542</v>
      </c>
      <c r="Q42" s="20">
        <f t="shared" si="6"/>
        <v>0.95070422535211274</v>
      </c>
      <c r="R42" s="170"/>
      <c r="S42" s="27">
        <v>0.39305555555555549</v>
      </c>
      <c r="T42" s="27">
        <v>0.49166666666666659</v>
      </c>
      <c r="U42" s="4">
        <f t="shared" si="30"/>
        <v>5.9999999999999787</v>
      </c>
      <c r="V42" s="21">
        <f t="shared" si="29"/>
        <v>141.99999999999997</v>
      </c>
      <c r="W42" s="22">
        <f>T42</f>
        <v>0.49166666666666659</v>
      </c>
      <c r="X42" s="22">
        <f>S43</f>
        <v>0.53055555555555545</v>
      </c>
      <c r="Y42" s="22"/>
      <c r="Z42" s="22"/>
      <c r="AA42" s="162"/>
      <c r="AB42" s="162"/>
      <c r="AC42" s="24"/>
      <c r="AD42" s="24"/>
      <c r="AE42" s="18">
        <f t="shared" si="8"/>
        <v>-118.3098591549292</v>
      </c>
      <c r="AF42" s="20">
        <f t="shared" si="9"/>
        <v>0.95070422535211285</v>
      </c>
      <c r="AG42" s="170"/>
    </row>
    <row r="43" spans="1:33">
      <c r="A43" s="189" t="s">
        <v>836</v>
      </c>
      <c r="B43" s="35" t="s">
        <v>97</v>
      </c>
      <c r="C43" s="163" t="s">
        <v>304</v>
      </c>
      <c r="D43" s="163"/>
      <c r="E43" s="35">
        <v>22.69</v>
      </c>
      <c r="F43" s="4">
        <v>3757</v>
      </c>
      <c r="G43" s="4">
        <f t="shared" si="27"/>
        <v>85246.33</v>
      </c>
      <c r="H43" s="21" t="s">
        <v>133</v>
      </c>
      <c r="I43" s="15">
        <v>15</v>
      </c>
      <c r="J43" s="17">
        <v>2400</v>
      </c>
      <c r="K43" s="16">
        <f t="shared" si="1"/>
        <v>160</v>
      </c>
      <c r="L43" s="15">
        <v>15</v>
      </c>
      <c r="M43" s="17">
        <f t="shared" si="28"/>
        <v>2300.2040816326535</v>
      </c>
      <c r="N43" s="16">
        <f t="shared" si="3"/>
        <v>153.34693877551024</v>
      </c>
      <c r="O43" s="18">
        <f t="shared" si="4"/>
        <v>0</v>
      </c>
      <c r="P43" s="19">
        <f t="shared" si="5"/>
        <v>-6.6530612244897611</v>
      </c>
      <c r="Q43" s="20">
        <f t="shared" si="6"/>
        <v>0.95841836734693897</v>
      </c>
      <c r="R43" s="170"/>
      <c r="S43" s="27">
        <v>0.53055555555555545</v>
      </c>
      <c r="T43" s="27">
        <v>0.59861111111111098</v>
      </c>
      <c r="U43" s="4">
        <f t="shared" si="30"/>
        <v>55.999999999999957</v>
      </c>
      <c r="V43" s="21">
        <f t="shared" si="29"/>
        <v>97.999999999999972</v>
      </c>
      <c r="W43" s="22"/>
      <c r="X43" s="22"/>
      <c r="Y43" s="22"/>
      <c r="Z43" s="22"/>
      <c r="AA43" s="162"/>
      <c r="AB43" s="162"/>
      <c r="AC43" s="24"/>
      <c r="AD43" s="24"/>
      <c r="AE43" s="18">
        <f t="shared" si="8"/>
        <v>-99.79591836734653</v>
      </c>
      <c r="AF43" s="20">
        <f t="shared" si="9"/>
        <v>0.95841836734693897</v>
      </c>
      <c r="AG43" s="170"/>
    </row>
    <row r="44" spans="1:33">
      <c r="A44" s="189" t="s">
        <v>836</v>
      </c>
      <c r="B44" s="35" t="s">
        <v>97</v>
      </c>
      <c r="C44" s="163" t="s">
        <v>105</v>
      </c>
      <c r="D44" s="163"/>
      <c r="E44" s="35">
        <v>26.39</v>
      </c>
      <c r="F44" s="4">
        <v>2955</v>
      </c>
      <c r="G44" s="4">
        <f t="shared" si="27"/>
        <v>77982.45</v>
      </c>
      <c r="H44" s="21" t="s">
        <v>133</v>
      </c>
      <c r="I44" s="15">
        <v>19</v>
      </c>
      <c r="J44" s="17">
        <v>2400</v>
      </c>
      <c r="K44" s="16">
        <f t="shared" si="1"/>
        <v>126.31578947368421</v>
      </c>
      <c r="L44" s="15">
        <v>19</v>
      </c>
      <c r="M44" s="17">
        <f t="shared" si="28"/>
        <v>2302.5974025974015</v>
      </c>
      <c r="N44" s="16">
        <f t="shared" si="3"/>
        <v>121.1893369788106</v>
      </c>
      <c r="O44" s="18">
        <f t="shared" si="4"/>
        <v>0</v>
      </c>
      <c r="P44" s="19">
        <f t="shared" si="5"/>
        <v>-5.1264524948736039</v>
      </c>
      <c r="Q44" s="20">
        <f t="shared" si="6"/>
        <v>0.95941558441558394</v>
      </c>
      <c r="R44" s="170"/>
      <c r="S44" s="27">
        <v>0.60208333333333319</v>
      </c>
      <c r="T44" s="27">
        <v>0.65555555555555545</v>
      </c>
      <c r="U44" s="4">
        <f t="shared" si="30"/>
        <v>4.9999999999999822</v>
      </c>
      <c r="V44" s="21">
        <f t="shared" si="29"/>
        <v>77.000000000000043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-97.402597402598531</v>
      </c>
      <c r="AF44" s="20">
        <f t="shared" si="9"/>
        <v>0.95941558441558394</v>
      </c>
      <c r="AG44" s="170"/>
    </row>
    <row r="45" spans="1:33">
      <c r="A45" s="189" t="s">
        <v>836</v>
      </c>
      <c r="B45" s="35" t="s">
        <v>97</v>
      </c>
      <c r="C45" s="163" t="s">
        <v>103</v>
      </c>
      <c r="D45" s="163"/>
      <c r="E45" s="35">
        <v>26.2</v>
      </c>
      <c r="F45" s="4">
        <v>3583</v>
      </c>
      <c r="G45" s="4">
        <f t="shared" si="27"/>
        <v>93874.599999999991</v>
      </c>
      <c r="H45" s="21" t="s">
        <v>133</v>
      </c>
      <c r="I45" s="15">
        <v>18</v>
      </c>
      <c r="J45" s="17">
        <v>2400</v>
      </c>
      <c r="K45" s="16">
        <f t="shared" si="1"/>
        <v>133.33333333333334</v>
      </c>
      <c r="L45" s="15">
        <v>18</v>
      </c>
      <c r="M45" s="17">
        <f t="shared" si="28"/>
        <v>2287.0212765957449</v>
      </c>
      <c r="N45" s="16">
        <f t="shared" si="3"/>
        <v>127.0567375886525</v>
      </c>
      <c r="O45" s="18">
        <f t="shared" si="4"/>
        <v>0</v>
      </c>
      <c r="P45" s="19">
        <f t="shared" si="5"/>
        <v>-6.2765957446808471</v>
      </c>
      <c r="Q45" s="20">
        <f t="shared" si="6"/>
        <v>0.9529255319148936</v>
      </c>
      <c r="R45" s="170"/>
      <c r="S45" s="27">
        <v>0.6597222222222221</v>
      </c>
      <c r="T45" s="27">
        <v>0.72499999999999987</v>
      </c>
      <c r="U45" s="4">
        <f t="shared" si="30"/>
        <v>5.9999999999999787</v>
      </c>
      <c r="V45" s="21">
        <f t="shared" si="29"/>
        <v>93.999999999999986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-112.97872340425511</v>
      </c>
      <c r="AF45" s="20">
        <f t="shared" si="9"/>
        <v>0.95292553191489371</v>
      </c>
      <c r="AG45" s="170"/>
    </row>
    <row r="46" spans="1:33">
      <c r="A46" s="189" t="s">
        <v>836</v>
      </c>
      <c r="B46" s="35" t="s">
        <v>97</v>
      </c>
      <c r="C46" s="163" t="s">
        <v>104</v>
      </c>
      <c r="D46" s="163"/>
      <c r="E46" s="35">
        <v>20.52</v>
      </c>
      <c r="F46" s="4">
        <v>2158</v>
      </c>
      <c r="G46" s="4">
        <f t="shared" si="27"/>
        <v>44282.159999999996</v>
      </c>
      <c r="H46" s="21" t="s">
        <v>133</v>
      </c>
      <c r="I46" s="15">
        <v>18</v>
      </c>
      <c r="J46" s="17">
        <v>2400</v>
      </c>
      <c r="K46" s="16">
        <f t="shared" si="1"/>
        <v>133.33333333333334</v>
      </c>
      <c r="L46" s="15">
        <v>18</v>
      </c>
      <c r="M46" s="17">
        <f t="shared" si="28"/>
        <v>2312.1428571428587</v>
      </c>
      <c r="N46" s="16">
        <f t="shared" si="3"/>
        <v>128.45238095238105</v>
      </c>
      <c r="O46" s="18">
        <f t="shared" si="4"/>
        <v>0</v>
      </c>
      <c r="P46" s="19">
        <f t="shared" si="5"/>
        <v>-4.8809523809522943</v>
      </c>
      <c r="Q46" s="20">
        <f t="shared" si="6"/>
        <v>0.96339285714285783</v>
      </c>
      <c r="R46" s="170"/>
      <c r="S46" s="27">
        <v>0.72986111111111096</v>
      </c>
      <c r="T46" s="27">
        <v>0.76874999999999982</v>
      </c>
      <c r="U46" s="4">
        <f t="shared" si="30"/>
        <v>6.9999999999999751</v>
      </c>
      <c r="V46" s="21">
        <f t="shared" si="29"/>
        <v>55.999999999999957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-87.857142857141298</v>
      </c>
      <c r="AF46" s="20">
        <f t="shared" si="9"/>
        <v>0.96339285714285783</v>
      </c>
      <c r="AG46" s="170"/>
    </row>
    <row r="47" spans="1:33">
      <c r="A47" s="189" t="s">
        <v>836</v>
      </c>
      <c r="B47" s="16" t="s">
        <v>835</v>
      </c>
      <c r="C47" s="171"/>
      <c r="D47" s="171"/>
      <c r="E47" s="36"/>
      <c r="F47" s="16"/>
      <c r="G47" s="16"/>
      <c r="H47" s="4"/>
      <c r="I47" s="29">
        <v>17.555555555555557</v>
      </c>
      <c r="J47" s="17">
        <v>2400</v>
      </c>
      <c r="K47" s="16">
        <f t="shared" si="1"/>
        <v>136.70886075949366</v>
      </c>
      <c r="L47" s="29">
        <v>17.555555555555557</v>
      </c>
      <c r="M47" s="17">
        <f>AVERAGE(M38:M46)</f>
        <v>2294.1026359695034</v>
      </c>
      <c r="N47" s="16">
        <f t="shared" si="3"/>
        <v>130.67673242864259</v>
      </c>
      <c r="O47" s="18">
        <f t="shared" si="4"/>
        <v>0</v>
      </c>
      <c r="P47" s="19">
        <f t="shared" si="5"/>
        <v>-6.0321283308510658</v>
      </c>
      <c r="Q47" s="20">
        <f t="shared" si="6"/>
        <v>0.95587609832062648</v>
      </c>
      <c r="R47" s="170"/>
      <c r="S47" s="27"/>
      <c r="T47" s="27"/>
      <c r="U47" s="16"/>
      <c r="V47" s="21"/>
      <c r="W47" s="16"/>
      <c r="X47" s="16"/>
      <c r="Y47" s="30">
        <f>SUM(Y38:Y46)</f>
        <v>0</v>
      </c>
      <c r="Z47" s="30">
        <f>SUM(Z38:Z46)</f>
        <v>0</v>
      </c>
      <c r="AA47" s="166"/>
      <c r="AB47" s="166"/>
      <c r="AC47" s="30">
        <v>9</v>
      </c>
      <c r="AD47" s="30">
        <f>SUM(AD38:AD46)</f>
        <v>0</v>
      </c>
      <c r="AE47" s="18">
        <f t="shared" si="8"/>
        <v>-105.89736403049665</v>
      </c>
      <c r="AF47" s="20">
        <f t="shared" si="9"/>
        <v>0.95587609832062637</v>
      </c>
      <c r="AG47" s="170"/>
    </row>
    <row r="48" spans="1:33" ht="15.75" customHeight="1">
      <c r="A48" s="182" t="s">
        <v>837</v>
      </c>
      <c r="B48" s="35" t="s">
        <v>108</v>
      </c>
      <c r="C48" s="174" t="s">
        <v>109</v>
      </c>
      <c r="D48" s="175"/>
      <c r="E48" s="35">
        <v>34.36</v>
      </c>
      <c r="F48" s="4">
        <v>2561</v>
      </c>
      <c r="G48" s="4">
        <f t="shared" ref="G48:G54" si="31">E48*F48</f>
        <v>87995.959999999992</v>
      </c>
      <c r="H48" s="21" t="s">
        <v>133</v>
      </c>
      <c r="I48" s="15">
        <v>10</v>
      </c>
      <c r="J48" s="17">
        <v>3000</v>
      </c>
      <c r="K48" s="16">
        <f t="shared" si="1"/>
        <v>300</v>
      </c>
      <c r="L48" s="15">
        <v>10</v>
      </c>
      <c r="M48" s="17">
        <f t="shared" ref="M48:M54" si="32">F48/V48*60</f>
        <v>2899.2452830188686</v>
      </c>
      <c r="N48" s="17">
        <f t="shared" si="3"/>
        <v>289.92452830188688</v>
      </c>
      <c r="O48" s="18">
        <f t="shared" si="4"/>
        <v>0</v>
      </c>
      <c r="P48" s="19">
        <f t="shared" si="5"/>
        <v>-10.07547169811312</v>
      </c>
      <c r="Q48" s="20">
        <f t="shared" si="6"/>
        <v>0.96641509433962292</v>
      </c>
      <c r="R48" s="185">
        <f>Q55</f>
        <v>0.95584311386191423</v>
      </c>
      <c r="S48" s="27">
        <v>8.3333333333333329E-2</v>
      </c>
      <c r="T48" s="27">
        <v>0.12013888888888888</v>
      </c>
      <c r="U48" s="27"/>
      <c r="V48" s="21">
        <f t="shared" ref="V48:V54" si="33">(T48-S48)*24*60</f>
        <v>52.999999999999993</v>
      </c>
      <c r="W48" s="22"/>
      <c r="X48" s="22"/>
      <c r="Y48" s="25"/>
      <c r="Z48" s="25"/>
      <c r="AA48" s="176"/>
      <c r="AB48" s="177"/>
      <c r="AC48" s="24">
        <v>7</v>
      </c>
      <c r="AD48" s="24"/>
      <c r="AE48" s="18">
        <f t="shared" si="8"/>
        <v>-100.75471698113142</v>
      </c>
      <c r="AF48" s="20">
        <f t="shared" si="9"/>
        <v>0.9664150943396228</v>
      </c>
      <c r="AG48" s="185">
        <f>AF55</f>
        <v>0.95584311386191423</v>
      </c>
    </row>
    <row r="49" spans="1:33" ht="15.75" customHeight="1">
      <c r="A49" s="183" t="s">
        <v>837</v>
      </c>
      <c r="B49" s="35" t="s">
        <v>108</v>
      </c>
      <c r="C49" s="174" t="s">
        <v>110</v>
      </c>
      <c r="D49" s="175"/>
      <c r="E49" s="35">
        <v>26.78</v>
      </c>
      <c r="F49" s="4">
        <v>3235</v>
      </c>
      <c r="G49" s="4">
        <f t="shared" si="31"/>
        <v>86633.3</v>
      </c>
      <c r="H49" s="21" t="s">
        <v>133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2854.411764705882</v>
      </c>
      <c r="N49" s="17">
        <f t="shared" si="3"/>
        <v>285.44117647058818</v>
      </c>
      <c r="O49" s="18">
        <f t="shared" si="4"/>
        <v>0</v>
      </c>
      <c r="P49" s="19">
        <f t="shared" si="5"/>
        <v>-14.558823529411825</v>
      </c>
      <c r="Q49" s="20">
        <f t="shared" si="6"/>
        <v>0.95147058823529396</v>
      </c>
      <c r="R49" s="186"/>
      <c r="S49" s="27">
        <v>0.12569444444444444</v>
      </c>
      <c r="T49" s="27">
        <v>0.17291666666666666</v>
      </c>
      <c r="U49" s="4">
        <f t="shared" ref="U49:U54" si="34">(S49-T48)*24*60</f>
        <v>8.0000000000000107</v>
      </c>
      <c r="V49" s="21">
        <f t="shared" si="33"/>
        <v>68</v>
      </c>
      <c r="W49" s="22">
        <f>T49</f>
        <v>0.17291666666666666</v>
      </c>
      <c r="X49" s="22">
        <f>S50</f>
        <v>0.19305555555555556</v>
      </c>
      <c r="Y49" s="25"/>
      <c r="Z49" s="25"/>
      <c r="AA49" s="176"/>
      <c r="AB49" s="177"/>
      <c r="AC49" s="24"/>
      <c r="AD49" s="24"/>
      <c r="AE49" s="18">
        <f t="shared" si="8"/>
        <v>-145.58823529411802</v>
      </c>
      <c r="AF49" s="20">
        <f t="shared" si="9"/>
        <v>0.95147058823529396</v>
      </c>
      <c r="AG49" s="186"/>
    </row>
    <row r="50" spans="1:33" ht="15.75" customHeight="1">
      <c r="A50" s="183" t="s">
        <v>837</v>
      </c>
      <c r="B50" s="35" t="s">
        <v>108</v>
      </c>
      <c r="C50" s="174" t="s">
        <v>111</v>
      </c>
      <c r="D50" s="175"/>
      <c r="E50" s="35">
        <v>21.13</v>
      </c>
      <c r="F50" s="4">
        <v>6572</v>
      </c>
      <c r="G50" s="4">
        <f t="shared" si="31"/>
        <v>138866.35999999999</v>
      </c>
      <c r="H50" s="21" t="s">
        <v>133</v>
      </c>
      <c r="I50" s="15">
        <v>10</v>
      </c>
      <c r="J50" s="17">
        <v>3000</v>
      </c>
      <c r="K50" s="16">
        <f t="shared" si="1"/>
        <v>300</v>
      </c>
      <c r="L50" s="15">
        <v>10</v>
      </c>
      <c r="M50" s="17">
        <f t="shared" si="32"/>
        <v>2857.3913043478274</v>
      </c>
      <c r="N50" s="17">
        <f t="shared" si="3"/>
        <v>285.73913043478274</v>
      </c>
      <c r="O50" s="18">
        <f t="shared" si="4"/>
        <v>0</v>
      </c>
      <c r="P50" s="19">
        <f t="shared" si="5"/>
        <v>-14.260869565217263</v>
      </c>
      <c r="Q50" s="20">
        <f t="shared" si="6"/>
        <v>0.95246376811594247</v>
      </c>
      <c r="R50" s="186"/>
      <c r="S50" s="27">
        <v>0.19305555555555556</v>
      </c>
      <c r="T50" s="27">
        <v>0.28888888888888886</v>
      </c>
      <c r="U50" s="4">
        <f t="shared" si="34"/>
        <v>29.000000000000018</v>
      </c>
      <c r="V50" s="21">
        <f t="shared" si="33"/>
        <v>137.99999999999994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-142.60869565217263</v>
      </c>
      <c r="AF50" s="20">
        <f t="shared" si="9"/>
        <v>0.95246376811594247</v>
      </c>
      <c r="AG50" s="186"/>
    </row>
    <row r="51" spans="1:33" ht="15.75" customHeight="1">
      <c r="A51" s="183" t="s">
        <v>837</v>
      </c>
      <c r="B51" s="35" t="s">
        <v>108</v>
      </c>
      <c r="C51" s="174" t="s">
        <v>112</v>
      </c>
      <c r="D51" s="175"/>
      <c r="E51" s="35">
        <v>27.17</v>
      </c>
      <c r="F51" s="4">
        <v>3500</v>
      </c>
      <c r="G51" s="4">
        <f t="shared" si="31"/>
        <v>95095</v>
      </c>
      <c r="H51" s="21">
        <v>2</v>
      </c>
      <c r="I51" s="15">
        <v>10</v>
      </c>
      <c r="J51" s="17">
        <v>3000</v>
      </c>
      <c r="K51" s="16">
        <f t="shared" si="1"/>
        <v>300</v>
      </c>
      <c r="L51" s="15">
        <v>10</v>
      </c>
      <c r="M51" s="17">
        <f t="shared" si="32"/>
        <v>2876.7123287671238</v>
      </c>
      <c r="N51" s="17">
        <f t="shared" si="3"/>
        <v>287.67123287671239</v>
      </c>
      <c r="O51" s="18">
        <f t="shared" si="4"/>
        <v>0</v>
      </c>
      <c r="P51" s="19">
        <f t="shared" si="5"/>
        <v>-12.328767123287605</v>
      </c>
      <c r="Q51" s="20">
        <f t="shared" si="6"/>
        <v>0.95890410958904126</v>
      </c>
      <c r="R51" s="186"/>
      <c r="S51" s="27">
        <v>0.29305555555555551</v>
      </c>
      <c r="T51" s="27">
        <v>0.34374999999999994</v>
      </c>
      <c r="U51" s="4">
        <f t="shared" si="34"/>
        <v>5.9999999999999787</v>
      </c>
      <c r="V51" s="21">
        <f t="shared" si="33"/>
        <v>72.999999999999986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-123.28767123287616</v>
      </c>
      <c r="AF51" s="20">
        <f t="shared" si="9"/>
        <v>0.95890410958904126</v>
      </c>
      <c r="AG51" s="186"/>
    </row>
    <row r="52" spans="1:33" ht="15.75" customHeight="1">
      <c r="A52" s="183" t="s">
        <v>837</v>
      </c>
      <c r="B52" s="35" t="s">
        <v>108</v>
      </c>
      <c r="C52" s="174" t="s">
        <v>305</v>
      </c>
      <c r="D52" s="175"/>
      <c r="E52" s="35">
        <v>28.3</v>
      </c>
      <c r="F52" s="4">
        <v>6290</v>
      </c>
      <c r="G52" s="4">
        <f t="shared" si="31"/>
        <v>178007</v>
      </c>
      <c r="H52" s="21" t="s">
        <v>133</v>
      </c>
      <c r="I52" s="15">
        <v>8</v>
      </c>
      <c r="J52" s="17">
        <v>3000</v>
      </c>
      <c r="K52" s="16">
        <f t="shared" si="1"/>
        <v>375</v>
      </c>
      <c r="L52" s="15">
        <v>8</v>
      </c>
      <c r="M52" s="17">
        <f t="shared" si="32"/>
        <v>2859.090909090909</v>
      </c>
      <c r="N52" s="17">
        <f t="shared" si="3"/>
        <v>357.38636363636363</v>
      </c>
      <c r="O52" s="18">
        <f t="shared" si="4"/>
        <v>0</v>
      </c>
      <c r="P52" s="19">
        <f t="shared" si="5"/>
        <v>-17.613636363636374</v>
      </c>
      <c r="Q52" s="20">
        <f t="shared" si="6"/>
        <v>0.95303030303030301</v>
      </c>
      <c r="R52" s="186"/>
      <c r="S52" s="27">
        <v>0.34930555555555548</v>
      </c>
      <c r="T52" s="27">
        <v>0.44097222222222215</v>
      </c>
      <c r="U52" s="4">
        <f t="shared" si="34"/>
        <v>7.9999999999999716</v>
      </c>
      <c r="V52" s="21">
        <f t="shared" si="33"/>
        <v>132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-140.90909090909099</v>
      </c>
      <c r="AF52" s="20">
        <f t="shared" si="9"/>
        <v>0.95303030303030301</v>
      </c>
      <c r="AG52" s="186"/>
    </row>
    <row r="53" spans="1:33" ht="15.75" customHeight="1">
      <c r="A53" s="183" t="s">
        <v>837</v>
      </c>
      <c r="B53" s="35" t="s">
        <v>108</v>
      </c>
      <c r="C53" s="174" t="s">
        <v>113</v>
      </c>
      <c r="D53" s="175"/>
      <c r="E53" s="35">
        <v>35.869999999999997</v>
      </c>
      <c r="F53" s="4">
        <v>4542</v>
      </c>
      <c r="G53" s="4">
        <f t="shared" si="31"/>
        <v>162921.53999999998</v>
      </c>
      <c r="H53" s="21" t="s">
        <v>133</v>
      </c>
      <c r="I53" s="15">
        <v>9</v>
      </c>
      <c r="J53" s="17">
        <v>3000</v>
      </c>
      <c r="K53" s="16">
        <f t="shared" si="1"/>
        <v>333.33333333333331</v>
      </c>
      <c r="L53" s="15">
        <v>9</v>
      </c>
      <c r="M53" s="17">
        <f t="shared" si="32"/>
        <v>2868.6315789473665</v>
      </c>
      <c r="N53" s="17">
        <f t="shared" si="3"/>
        <v>318.73684210526295</v>
      </c>
      <c r="O53" s="18">
        <f t="shared" si="4"/>
        <v>0</v>
      </c>
      <c r="P53" s="19">
        <f t="shared" si="5"/>
        <v>-14.596491228070363</v>
      </c>
      <c r="Q53" s="20">
        <f t="shared" si="6"/>
        <v>0.95621052631578896</v>
      </c>
      <c r="R53" s="186"/>
      <c r="S53" s="27">
        <v>0.44513888888888881</v>
      </c>
      <c r="T53" s="27">
        <v>0.51111111111111107</v>
      </c>
      <c r="U53" s="4">
        <f t="shared" si="34"/>
        <v>5.9999999999999787</v>
      </c>
      <c r="V53" s="21">
        <f t="shared" si="33"/>
        <v>95.000000000000057</v>
      </c>
      <c r="W53" s="22">
        <f>T53</f>
        <v>0.51111111111111107</v>
      </c>
      <c r="X53" s="22">
        <f>S54</f>
        <v>0.55069444444444438</v>
      </c>
      <c r="Y53" s="25"/>
      <c r="Z53" s="25"/>
      <c r="AA53" s="176"/>
      <c r="AB53" s="177"/>
      <c r="AC53" s="24"/>
      <c r="AD53" s="24"/>
      <c r="AE53" s="18">
        <f t="shared" si="8"/>
        <v>-131.36842105263349</v>
      </c>
      <c r="AF53" s="20">
        <f t="shared" si="9"/>
        <v>0.95621052631578884</v>
      </c>
      <c r="AG53" s="186"/>
    </row>
    <row r="54" spans="1:33" ht="15.75" customHeight="1">
      <c r="A54" s="183" t="s">
        <v>66</v>
      </c>
      <c r="B54" s="35" t="s">
        <v>108</v>
      </c>
      <c r="C54" s="174" t="s">
        <v>112</v>
      </c>
      <c r="D54" s="175"/>
      <c r="E54" s="35">
        <v>27.17</v>
      </c>
      <c r="F54" s="4">
        <v>5143</v>
      </c>
      <c r="G54" s="4">
        <f t="shared" si="31"/>
        <v>139735.31</v>
      </c>
      <c r="H54" s="21" t="s">
        <v>133</v>
      </c>
      <c r="I54" s="15">
        <v>10</v>
      </c>
      <c r="J54" s="17">
        <v>3000</v>
      </c>
      <c r="K54" s="16">
        <f t="shared" si="1"/>
        <v>300</v>
      </c>
      <c r="L54" s="15">
        <v>10</v>
      </c>
      <c r="M54" s="17">
        <f t="shared" si="32"/>
        <v>2857.2222222222235</v>
      </c>
      <c r="N54" s="17">
        <f t="shared" si="3"/>
        <v>285.72222222222234</v>
      </c>
      <c r="O54" s="18">
        <f t="shared" si="4"/>
        <v>0</v>
      </c>
      <c r="P54" s="19">
        <f t="shared" si="5"/>
        <v>-14.277777777777658</v>
      </c>
      <c r="Q54" s="20">
        <f t="shared" si="6"/>
        <v>0.95240740740740781</v>
      </c>
      <c r="R54" s="186"/>
      <c r="S54" s="27">
        <v>0.55069444444444438</v>
      </c>
      <c r="T54" s="27">
        <v>0.62569444444444433</v>
      </c>
      <c r="U54" s="4">
        <f t="shared" si="34"/>
        <v>56.999999999999957</v>
      </c>
      <c r="V54" s="21">
        <f t="shared" si="33"/>
        <v>107.99999999999994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-142.77777777777646</v>
      </c>
      <c r="AF54" s="20">
        <f t="shared" si="9"/>
        <v>0.95240740740740781</v>
      </c>
      <c r="AG54" s="186"/>
    </row>
    <row r="55" spans="1:33" ht="15.75" customHeight="1">
      <c r="A55" s="184" t="s">
        <v>837</v>
      </c>
      <c r="B55" s="35" t="s">
        <v>835</v>
      </c>
      <c r="C55" s="164"/>
      <c r="D55" s="165"/>
      <c r="E55" s="37"/>
      <c r="F55" s="4"/>
      <c r="G55" s="4"/>
      <c r="H55" s="4"/>
      <c r="I55" s="29">
        <v>9.5714285714285712</v>
      </c>
      <c r="J55" s="17">
        <v>3000</v>
      </c>
      <c r="K55" s="16">
        <f t="shared" si="1"/>
        <v>313.43283582089555</v>
      </c>
      <c r="L55" s="29">
        <v>9.5714285714285712</v>
      </c>
      <c r="M55" s="17">
        <f>AVERAGE(M48:M54)</f>
        <v>2867.5293415857427</v>
      </c>
      <c r="N55" s="16">
        <f t="shared" si="3"/>
        <v>299.59261777761492</v>
      </c>
      <c r="O55" s="18">
        <f t="shared" si="4"/>
        <v>0</v>
      </c>
      <c r="P55" s="19">
        <f t="shared" si="5"/>
        <v>-13.840218043280629</v>
      </c>
      <c r="Q55" s="20">
        <f t="shared" si="6"/>
        <v>0.95584311386191423</v>
      </c>
      <c r="R55" s="187"/>
      <c r="S55" s="27"/>
      <c r="T55" s="27"/>
      <c r="U55" s="4"/>
      <c r="V55" s="21"/>
      <c r="W55" s="22"/>
      <c r="X55" s="22"/>
      <c r="Y55" s="30">
        <f>SUM(Y48:Y54)</f>
        <v>0</v>
      </c>
      <c r="Z55" s="30">
        <f>SUM(Z48:Z54)</f>
        <v>0</v>
      </c>
      <c r="AA55" s="180"/>
      <c r="AB55" s="181"/>
      <c r="AC55" s="30">
        <v>7</v>
      </c>
      <c r="AD55" s="30">
        <f>SUM(AD48:AD54)</f>
        <v>0</v>
      </c>
      <c r="AE55" s="18">
        <f t="shared" si="8"/>
        <v>-132.47065841425729</v>
      </c>
      <c r="AF55" s="20">
        <f t="shared" si="9"/>
        <v>0.95584311386191423</v>
      </c>
      <c r="AG55" s="187"/>
    </row>
    <row r="56" spans="1:33" ht="15.75" customHeight="1">
      <c r="A56" s="178" t="s">
        <v>838</v>
      </c>
      <c r="B56" s="35" t="s">
        <v>84</v>
      </c>
      <c r="C56" s="163" t="s">
        <v>114</v>
      </c>
      <c r="D56" s="163"/>
      <c r="E56" s="35">
        <v>46</v>
      </c>
      <c r="F56" s="38">
        <v>2114</v>
      </c>
      <c r="G56" s="4">
        <f t="shared" ref="G56:G64" si="35">E56*F56</f>
        <v>97244</v>
      </c>
      <c r="H56" s="21" t="s">
        <v>133</v>
      </c>
      <c r="I56" s="15">
        <v>17</v>
      </c>
      <c r="J56" s="17">
        <v>2000</v>
      </c>
      <c r="K56" s="16">
        <f t="shared" si="1"/>
        <v>117.64705882352941</v>
      </c>
      <c r="L56" s="15">
        <v>17</v>
      </c>
      <c r="M56" s="17">
        <f t="shared" ref="M56:M64" si="36">F56/V56*60</f>
        <v>1921.8181818181827</v>
      </c>
      <c r="N56" s="17">
        <f t="shared" si="3"/>
        <v>113.04812834224605</v>
      </c>
      <c r="O56" s="18">
        <f t="shared" si="4"/>
        <v>0</v>
      </c>
      <c r="P56" s="19">
        <f t="shared" si="5"/>
        <v>-4.5989304812833609</v>
      </c>
      <c r="Q56" s="20">
        <f t="shared" si="6"/>
        <v>0.96090909090909138</v>
      </c>
      <c r="R56" s="170">
        <f>Q65</f>
        <v>0.95153001188868469</v>
      </c>
      <c r="S56" s="27">
        <v>0.20833333333333334</v>
      </c>
      <c r="T56" s="27">
        <v>0.25416666666666665</v>
      </c>
      <c r="U56" s="27"/>
      <c r="V56" s="21">
        <f t="shared" ref="V56:V64" si="37">(T56-S56)*24*60</f>
        <v>65.999999999999972</v>
      </c>
      <c r="W56" s="27"/>
      <c r="X56" s="27"/>
      <c r="Y56" s="27"/>
      <c r="Z56" s="27"/>
      <c r="AA56" s="162"/>
      <c r="AB56" s="162"/>
      <c r="AC56" s="24">
        <v>9</v>
      </c>
      <c r="AD56" s="24"/>
      <c r="AE56" s="18">
        <f t="shared" si="8"/>
        <v>-78.181818181817334</v>
      </c>
      <c r="AF56" s="20">
        <f t="shared" si="9"/>
        <v>0.96090909090909138</v>
      </c>
      <c r="AG56" s="170">
        <f>AF65</f>
        <v>0.95153001188868469</v>
      </c>
    </row>
    <row r="57" spans="1:33" ht="15.75" customHeight="1">
      <c r="A57" s="178" t="s">
        <v>838</v>
      </c>
      <c r="B57" s="35" t="s">
        <v>78</v>
      </c>
      <c r="C57" s="163" t="s">
        <v>115</v>
      </c>
      <c r="D57" s="163"/>
      <c r="E57" s="35">
        <v>56.43</v>
      </c>
      <c r="F57" s="38">
        <v>2113</v>
      </c>
      <c r="G57" s="4">
        <f t="shared" si="35"/>
        <v>119236.59</v>
      </c>
      <c r="H57" s="21" t="s">
        <v>133</v>
      </c>
      <c r="I57" s="15">
        <v>22</v>
      </c>
      <c r="J57" s="17">
        <v>2000</v>
      </c>
      <c r="K57" s="16">
        <f t="shared" si="1"/>
        <v>90.909090909090907</v>
      </c>
      <c r="L57" s="15">
        <v>22</v>
      </c>
      <c r="M57" s="17">
        <f t="shared" si="36"/>
        <v>1811.1428571428573</v>
      </c>
      <c r="N57" s="17">
        <f t="shared" si="3"/>
        <v>82.32467532467534</v>
      </c>
      <c r="O57" s="18">
        <f t="shared" si="4"/>
        <v>0</v>
      </c>
      <c r="P57" s="19">
        <f t="shared" si="5"/>
        <v>-8.5844155844155665</v>
      </c>
      <c r="Q57" s="20">
        <f t="shared" si="6"/>
        <v>0.9055714285714288</v>
      </c>
      <c r="R57" s="170"/>
      <c r="S57" s="27">
        <v>0.25972222222222219</v>
      </c>
      <c r="T57" s="27">
        <v>0.30833333333333329</v>
      </c>
      <c r="U57" s="4">
        <f t="shared" ref="U57:U64" si="38">IF(S57=TIME(17,0,0),"",(S57-T56)*24*60)</f>
        <v>7.9999999999999716</v>
      </c>
      <c r="V57" s="21">
        <f t="shared" si="37"/>
        <v>69.999999999999986</v>
      </c>
      <c r="W57" s="22"/>
      <c r="X57" s="22"/>
      <c r="Y57" s="22"/>
      <c r="Z57" s="22"/>
      <c r="AA57" s="162"/>
      <c r="AB57" s="162"/>
      <c r="AC57" s="24"/>
      <c r="AD57" s="24"/>
      <c r="AE57" s="18">
        <f t="shared" si="8"/>
        <v>-188.85714285714266</v>
      </c>
      <c r="AF57" s="20">
        <f t="shared" si="9"/>
        <v>0.90557142857142869</v>
      </c>
      <c r="AG57" s="170"/>
    </row>
    <row r="58" spans="1:33" ht="15.75" customHeight="1">
      <c r="A58" s="178" t="s">
        <v>838</v>
      </c>
      <c r="B58" s="35" t="s">
        <v>78</v>
      </c>
      <c r="C58" s="174" t="s">
        <v>116</v>
      </c>
      <c r="D58" s="175"/>
      <c r="E58" s="35">
        <v>51.75</v>
      </c>
      <c r="F58" s="38">
        <v>1590</v>
      </c>
      <c r="G58" s="4">
        <f t="shared" si="35"/>
        <v>82282.5</v>
      </c>
      <c r="H58" s="21" t="s">
        <v>133</v>
      </c>
      <c r="I58" s="15">
        <v>25</v>
      </c>
      <c r="J58" s="17">
        <v>2000</v>
      </c>
      <c r="K58" s="16">
        <f t="shared" si="1"/>
        <v>80</v>
      </c>
      <c r="L58" s="15">
        <v>25</v>
      </c>
      <c r="M58" s="17">
        <f t="shared" si="36"/>
        <v>1946.9387755102048</v>
      </c>
      <c r="N58" s="17">
        <f t="shared" si="3"/>
        <v>77.877551020408191</v>
      </c>
      <c r="O58" s="18">
        <f t="shared" si="4"/>
        <v>0</v>
      </c>
      <c r="P58" s="19">
        <f t="shared" si="5"/>
        <v>-2.1224489795918089</v>
      </c>
      <c r="Q58" s="20">
        <f t="shared" si="6"/>
        <v>0.97346938775510239</v>
      </c>
      <c r="R58" s="170"/>
      <c r="S58" s="27">
        <v>0.31249999999999994</v>
      </c>
      <c r="T58" s="27">
        <v>0.34652777777777771</v>
      </c>
      <c r="U58" s="4">
        <f t="shared" si="38"/>
        <v>5.9999999999999787</v>
      </c>
      <c r="V58" s="21">
        <f t="shared" si="37"/>
        <v>48.999999999999986</v>
      </c>
      <c r="W58" s="22"/>
      <c r="X58" s="22"/>
      <c r="Y58" s="25"/>
      <c r="Z58" s="25"/>
      <c r="AA58" s="162"/>
      <c r="AB58" s="162"/>
      <c r="AC58" s="24"/>
      <c r="AD58" s="24"/>
      <c r="AE58" s="18">
        <f t="shared" si="8"/>
        <v>-53.061224489795222</v>
      </c>
      <c r="AF58" s="20">
        <f t="shared" si="9"/>
        <v>0.97346938775510239</v>
      </c>
      <c r="AG58" s="170"/>
    </row>
    <row r="59" spans="1:33" ht="15.75" customHeight="1">
      <c r="A59" s="178" t="s">
        <v>838</v>
      </c>
      <c r="B59" s="35" t="s">
        <v>78</v>
      </c>
      <c r="C59" s="39" t="s">
        <v>117</v>
      </c>
      <c r="D59" s="40"/>
      <c r="E59" s="35">
        <v>54.09</v>
      </c>
      <c r="F59" s="38">
        <v>1612</v>
      </c>
      <c r="G59" s="4">
        <f t="shared" si="35"/>
        <v>87193.08</v>
      </c>
      <c r="H59" s="21" t="s">
        <v>133</v>
      </c>
      <c r="I59" s="15">
        <v>19</v>
      </c>
      <c r="J59" s="17">
        <v>2000</v>
      </c>
      <c r="K59" s="16">
        <f t="shared" si="1"/>
        <v>105.26315789473684</v>
      </c>
      <c r="L59" s="15">
        <v>19</v>
      </c>
      <c r="M59" s="17">
        <f t="shared" si="36"/>
        <v>1860.0000000000011</v>
      </c>
      <c r="N59" s="17">
        <f t="shared" si="3"/>
        <v>97.894736842105317</v>
      </c>
      <c r="O59" s="18">
        <f t="shared" si="4"/>
        <v>0</v>
      </c>
      <c r="P59" s="19">
        <f t="shared" si="5"/>
        <v>-7.3684210526315184</v>
      </c>
      <c r="Q59" s="20">
        <f t="shared" si="6"/>
        <v>0.9300000000000006</v>
      </c>
      <c r="R59" s="170"/>
      <c r="S59" s="27">
        <v>0.35208333333333325</v>
      </c>
      <c r="T59" s="27">
        <v>0.38819444444444434</v>
      </c>
      <c r="U59" s="4">
        <f t="shared" si="38"/>
        <v>7.9999999999999716</v>
      </c>
      <c r="V59" s="21">
        <f t="shared" si="37"/>
        <v>51.999999999999972</v>
      </c>
      <c r="W59" s="22"/>
      <c r="X59" s="22"/>
      <c r="Y59" s="25"/>
      <c r="Z59" s="25"/>
      <c r="AA59" s="162"/>
      <c r="AB59" s="162"/>
      <c r="AC59" s="24"/>
      <c r="AD59" s="24"/>
      <c r="AE59" s="18">
        <f t="shared" si="8"/>
        <v>-139.99999999999886</v>
      </c>
      <c r="AF59" s="20">
        <f t="shared" si="9"/>
        <v>0.9300000000000006</v>
      </c>
      <c r="AG59" s="170"/>
    </row>
    <row r="60" spans="1:33" ht="15.75" customHeight="1">
      <c r="A60" s="178" t="s">
        <v>838</v>
      </c>
      <c r="B60" s="35" t="s">
        <v>78</v>
      </c>
      <c r="C60" s="39" t="s">
        <v>118</v>
      </c>
      <c r="D60" s="40"/>
      <c r="E60" s="35">
        <v>57.73</v>
      </c>
      <c r="F60" s="38">
        <v>1265</v>
      </c>
      <c r="G60" s="4">
        <f t="shared" si="35"/>
        <v>73028.45</v>
      </c>
      <c r="H60" s="21" t="s">
        <v>133</v>
      </c>
      <c r="I60" s="15">
        <v>16</v>
      </c>
      <c r="J60" s="17">
        <v>1500</v>
      </c>
      <c r="K60" s="16">
        <f t="shared" si="1"/>
        <v>93.75</v>
      </c>
      <c r="L60" s="15">
        <v>16</v>
      </c>
      <c r="M60" s="17">
        <f t="shared" si="36"/>
        <v>1432.0754716981139</v>
      </c>
      <c r="N60" s="17">
        <f t="shared" si="3"/>
        <v>89.50471698113212</v>
      </c>
      <c r="O60" s="18">
        <f t="shared" si="4"/>
        <v>0</v>
      </c>
      <c r="P60" s="19">
        <f t="shared" si="5"/>
        <v>-4.2452830188678803</v>
      </c>
      <c r="Q60" s="20">
        <f t="shared" si="6"/>
        <v>0.95471698113207593</v>
      </c>
      <c r="R60" s="170"/>
      <c r="S60" s="27">
        <v>0.70833333333333337</v>
      </c>
      <c r="T60" s="27">
        <v>0.74513888888888891</v>
      </c>
      <c r="U60" s="4" t="str">
        <f t="shared" si="38"/>
        <v/>
      </c>
      <c r="V60" s="21">
        <f t="shared" si="37"/>
        <v>52.999999999999972</v>
      </c>
      <c r="W60" s="22"/>
      <c r="X60" s="22"/>
      <c r="Y60" s="25"/>
      <c r="Z60" s="25"/>
      <c r="AA60" s="162"/>
      <c r="AB60" s="162"/>
      <c r="AC60" s="24"/>
      <c r="AD60" s="24"/>
      <c r="AE60" s="18">
        <f t="shared" si="8"/>
        <v>-67.924528301886085</v>
      </c>
      <c r="AF60" s="20">
        <f t="shared" si="9"/>
        <v>0.95471698113207593</v>
      </c>
      <c r="AG60" s="170"/>
    </row>
    <row r="61" spans="1:33" ht="15.75" customHeight="1">
      <c r="A61" s="178" t="s">
        <v>838</v>
      </c>
      <c r="B61" s="35" t="s">
        <v>78</v>
      </c>
      <c r="C61" s="174" t="s">
        <v>119</v>
      </c>
      <c r="D61" s="175"/>
      <c r="E61" s="35">
        <v>54.29</v>
      </c>
      <c r="F61" s="38">
        <v>1578</v>
      </c>
      <c r="G61" s="4">
        <f t="shared" si="35"/>
        <v>85669.62</v>
      </c>
      <c r="H61" s="21" t="s">
        <v>133</v>
      </c>
      <c r="I61" s="15">
        <v>20</v>
      </c>
      <c r="J61" s="17">
        <v>2000</v>
      </c>
      <c r="K61" s="16">
        <f t="shared" si="1"/>
        <v>100</v>
      </c>
      <c r="L61" s="15">
        <v>20</v>
      </c>
      <c r="M61" s="17">
        <f t="shared" si="36"/>
        <v>1932.2448979591843</v>
      </c>
      <c r="N61" s="17">
        <f t="shared" si="3"/>
        <v>96.612244897959215</v>
      </c>
      <c r="O61" s="18">
        <f t="shared" si="4"/>
        <v>0</v>
      </c>
      <c r="P61" s="19">
        <f t="shared" si="5"/>
        <v>-3.387755102040785</v>
      </c>
      <c r="Q61" s="20">
        <f t="shared" si="6"/>
        <v>0.9661224489795921</v>
      </c>
      <c r="R61" s="170"/>
      <c r="S61" s="27">
        <v>0.75069444444444444</v>
      </c>
      <c r="T61" s="27">
        <v>0.78472222222222221</v>
      </c>
      <c r="U61" s="4">
        <f t="shared" si="38"/>
        <v>7.9999999999999716</v>
      </c>
      <c r="V61" s="21">
        <f t="shared" si="37"/>
        <v>48.999999999999986</v>
      </c>
      <c r="W61" s="22"/>
      <c r="X61" s="22"/>
      <c r="Y61" s="25"/>
      <c r="Z61" s="25"/>
      <c r="AA61" s="176"/>
      <c r="AB61" s="177"/>
      <c r="AC61" s="24"/>
      <c r="AD61" s="24"/>
      <c r="AE61" s="18">
        <f t="shared" si="8"/>
        <v>-67.7551020408157</v>
      </c>
      <c r="AF61" s="20">
        <f t="shared" si="9"/>
        <v>0.9661224489795921</v>
      </c>
      <c r="AG61" s="170"/>
    </row>
    <row r="62" spans="1:33" ht="15.75" customHeight="1">
      <c r="A62" s="178" t="s">
        <v>838</v>
      </c>
      <c r="B62" s="35" t="s">
        <v>78</v>
      </c>
      <c r="C62" s="174" t="s">
        <v>120</v>
      </c>
      <c r="D62" s="175"/>
      <c r="E62" s="35">
        <v>55.56</v>
      </c>
      <c r="F62" s="38">
        <v>600</v>
      </c>
      <c r="G62" s="4">
        <f t="shared" si="35"/>
        <v>33336</v>
      </c>
      <c r="H62" s="21">
        <v>2</v>
      </c>
      <c r="I62" s="15">
        <v>17</v>
      </c>
      <c r="J62" s="17">
        <v>2000</v>
      </c>
      <c r="K62" s="16">
        <f t="shared" si="1"/>
        <v>117.64705882352941</v>
      </c>
      <c r="L62" s="15">
        <v>17</v>
      </c>
      <c r="M62" s="17">
        <f t="shared" si="36"/>
        <v>1894.7368421052538</v>
      </c>
      <c r="N62" s="17">
        <f t="shared" si="3"/>
        <v>111.45510835913258</v>
      </c>
      <c r="O62" s="18">
        <f t="shared" si="4"/>
        <v>0</v>
      </c>
      <c r="P62" s="19">
        <f t="shared" si="5"/>
        <v>-6.1919504643968253</v>
      </c>
      <c r="Q62" s="20">
        <f t="shared" si="6"/>
        <v>0.94736842105262697</v>
      </c>
      <c r="R62" s="170"/>
      <c r="S62" s="27">
        <v>0.78819444444444442</v>
      </c>
      <c r="T62" s="27">
        <v>0.80138888888888893</v>
      </c>
      <c r="U62" s="4">
        <f t="shared" si="38"/>
        <v>4.9999999999999822</v>
      </c>
      <c r="V62" s="21">
        <f t="shared" si="37"/>
        <v>19.000000000000092</v>
      </c>
      <c r="W62" s="22"/>
      <c r="X62" s="22"/>
      <c r="Y62" s="25"/>
      <c r="Z62" s="25"/>
      <c r="AA62" s="176"/>
      <c r="AB62" s="177"/>
      <c r="AC62" s="24"/>
      <c r="AD62" s="24"/>
      <c r="AE62" s="18">
        <f t="shared" si="8"/>
        <v>-105.2631578947462</v>
      </c>
      <c r="AF62" s="20">
        <f t="shared" si="9"/>
        <v>0.94736842105262686</v>
      </c>
      <c r="AG62" s="170"/>
    </row>
    <row r="63" spans="1:33" ht="15.75" customHeight="1">
      <c r="A63" s="178" t="s">
        <v>838</v>
      </c>
      <c r="B63" s="35" t="s">
        <v>78</v>
      </c>
      <c r="C63" s="174" t="s">
        <v>121</v>
      </c>
      <c r="D63" s="175"/>
      <c r="E63" s="35">
        <v>55.32</v>
      </c>
      <c r="F63" s="38">
        <v>1758</v>
      </c>
      <c r="G63" s="4">
        <f t="shared" si="35"/>
        <v>97252.56</v>
      </c>
      <c r="H63" s="21" t="s">
        <v>133</v>
      </c>
      <c r="I63" s="15">
        <v>15</v>
      </c>
      <c r="J63" s="17">
        <v>2000</v>
      </c>
      <c r="K63" s="16">
        <f t="shared" si="1"/>
        <v>133.33333333333334</v>
      </c>
      <c r="L63" s="15">
        <v>15</v>
      </c>
      <c r="M63" s="17">
        <f t="shared" si="36"/>
        <v>1917.8181818181831</v>
      </c>
      <c r="N63" s="17">
        <f t="shared" si="3"/>
        <v>127.85454545454554</v>
      </c>
      <c r="O63" s="18">
        <f t="shared" si="4"/>
        <v>0</v>
      </c>
      <c r="P63" s="19">
        <f t="shared" si="5"/>
        <v>-5.4787878787877986</v>
      </c>
      <c r="Q63" s="20">
        <f t="shared" si="6"/>
        <v>0.95890909090909149</v>
      </c>
      <c r="R63" s="170"/>
      <c r="S63" s="27">
        <v>0.80416666666666659</v>
      </c>
      <c r="T63" s="27">
        <v>0.84236111111111101</v>
      </c>
      <c r="U63" s="4">
        <f t="shared" si="38"/>
        <v>3.9999999999998259</v>
      </c>
      <c r="V63" s="21">
        <f t="shared" si="37"/>
        <v>54.999999999999964</v>
      </c>
      <c r="W63" s="22">
        <f>T63</f>
        <v>0.84236111111111101</v>
      </c>
      <c r="X63" s="22">
        <f>S64</f>
        <v>0.88333333333333319</v>
      </c>
      <c r="Y63" s="25"/>
      <c r="Z63" s="25"/>
      <c r="AA63" s="176"/>
      <c r="AB63" s="177"/>
      <c r="AC63" s="24"/>
      <c r="AD63" s="24"/>
      <c r="AE63" s="18">
        <f t="shared" si="8"/>
        <v>-82.18181818181688</v>
      </c>
      <c r="AF63" s="20">
        <f t="shared" si="9"/>
        <v>0.9589090909090916</v>
      </c>
      <c r="AG63" s="170"/>
    </row>
    <row r="64" spans="1:33">
      <c r="A64" s="178" t="s">
        <v>838</v>
      </c>
      <c r="B64" s="35" t="s">
        <v>78</v>
      </c>
      <c r="C64" s="174" t="s">
        <v>120</v>
      </c>
      <c r="D64" s="175"/>
      <c r="E64" s="35">
        <v>55.56</v>
      </c>
      <c r="F64" s="38">
        <v>1806</v>
      </c>
      <c r="G64" s="4">
        <f t="shared" si="35"/>
        <v>100341.36</v>
      </c>
      <c r="H64" s="21" t="s">
        <v>133</v>
      </c>
      <c r="I64" s="15">
        <v>17</v>
      </c>
      <c r="J64" s="17">
        <v>2000</v>
      </c>
      <c r="K64" s="16">
        <f t="shared" si="1"/>
        <v>117.64705882352941</v>
      </c>
      <c r="L64" s="15">
        <v>17</v>
      </c>
      <c r="M64" s="17">
        <f t="shared" si="36"/>
        <v>1935.0000000000014</v>
      </c>
      <c r="N64" s="17">
        <f t="shared" si="3"/>
        <v>113.82352941176478</v>
      </c>
      <c r="O64" s="18">
        <f t="shared" si="4"/>
        <v>0</v>
      </c>
      <c r="P64" s="19">
        <f t="shared" si="5"/>
        <v>-3.8235294117646248</v>
      </c>
      <c r="Q64" s="20">
        <f t="shared" si="6"/>
        <v>0.96750000000000069</v>
      </c>
      <c r="R64" s="170"/>
      <c r="S64" s="27">
        <v>0.88333333333333319</v>
      </c>
      <c r="T64" s="27">
        <v>0.92222222222222205</v>
      </c>
      <c r="U64" s="4">
        <f t="shared" si="38"/>
        <v>58.99999999999995</v>
      </c>
      <c r="V64" s="21">
        <f t="shared" si="37"/>
        <v>55.999999999999957</v>
      </c>
      <c r="W64" s="22"/>
      <c r="X64" s="22"/>
      <c r="Y64" s="25"/>
      <c r="Z64" s="25"/>
      <c r="AA64" s="176"/>
      <c r="AB64" s="177"/>
      <c r="AC64" s="24"/>
      <c r="AD64" s="24"/>
      <c r="AE64" s="18">
        <f t="shared" si="8"/>
        <v>-64.999999999998636</v>
      </c>
      <c r="AF64" s="20">
        <f t="shared" si="9"/>
        <v>0.96750000000000069</v>
      </c>
      <c r="AG64" s="170"/>
    </row>
    <row r="65" spans="1:33">
      <c r="A65" s="179" t="s">
        <v>838</v>
      </c>
      <c r="B65" s="35" t="s">
        <v>835</v>
      </c>
      <c r="C65" s="171"/>
      <c r="D65" s="171"/>
      <c r="E65" s="36"/>
      <c r="F65" s="16"/>
      <c r="G65" s="16"/>
      <c r="H65" s="4"/>
      <c r="I65" s="29">
        <v>18.666666666666668</v>
      </c>
      <c r="J65" s="17">
        <v>1944.4444444444443</v>
      </c>
      <c r="K65" s="16">
        <f t="shared" si="1"/>
        <v>104.16666666666666</v>
      </c>
      <c r="L65" s="29">
        <v>18.666666666666668</v>
      </c>
      <c r="M65" s="17">
        <f>AVERAGE(M56:M64)</f>
        <v>1850.197245339109</v>
      </c>
      <c r="N65" s="16">
        <f t="shared" si="3"/>
        <v>99.117709571737976</v>
      </c>
      <c r="O65" s="18">
        <f t="shared" si="4"/>
        <v>0</v>
      </c>
      <c r="P65" s="19">
        <f t="shared" si="5"/>
        <v>-5.0489570949286815</v>
      </c>
      <c r="Q65" s="20">
        <f t="shared" si="6"/>
        <v>0.95153001188868469</v>
      </c>
      <c r="R65" s="170"/>
      <c r="S65" s="27"/>
      <c r="T65" s="27"/>
      <c r="U65" s="4"/>
      <c r="V65" s="21"/>
      <c r="W65" s="16"/>
      <c r="X65" s="16"/>
      <c r="Y65" s="30">
        <f>SUM(Y56:Y64)</f>
        <v>0</v>
      </c>
      <c r="Z65" s="30">
        <f>SUM(Z56:Z64)</f>
        <v>0</v>
      </c>
      <c r="AA65" s="166"/>
      <c r="AB65" s="166"/>
      <c r="AC65" s="30">
        <v>9</v>
      </c>
      <c r="AD65" s="30">
        <f>SUM(AD56:AD64)</f>
        <v>0</v>
      </c>
      <c r="AE65" s="18">
        <f>M65-J65</f>
        <v>-94.247199105335312</v>
      </c>
      <c r="AF65" s="20">
        <f t="shared" si="9"/>
        <v>0.95153001188868469</v>
      </c>
      <c r="AG65" s="170"/>
    </row>
    <row r="66" spans="1:33" ht="15.75" customHeight="1">
      <c r="A66" s="172" t="s">
        <v>402</v>
      </c>
      <c r="B66" s="4" t="s">
        <v>84</v>
      </c>
      <c r="C66" s="163" t="s">
        <v>122</v>
      </c>
      <c r="D66" s="163"/>
      <c r="E66" s="35">
        <v>26.97</v>
      </c>
      <c r="F66" s="38">
        <v>2914</v>
      </c>
      <c r="G66" s="4">
        <f t="shared" ref="G66:G69" si="39">E66*F66</f>
        <v>78590.58</v>
      </c>
      <c r="H66" s="21" t="s">
        <v>133</v>
      </c>
      <c r="I66" s="15">
        <v>8</v>
      </c>
      <c r="J66" s="17">
        <v>1500</v>
      </c>
      <c r="K66" s="16">
        <f t="shared" si="1"/>
        <v>187.5</v>
      </c>
      <c r="L66" s="15">
        <v>8</v>
      </c>
      <c r="M66" s="17">
        <f t="shared" ref="M66:M69" si="40">F66/V66*60</f>
        <v>1433.1147540983607</v>
      </c>
      <c r="N66" s="16">
        <f t="shared" si="3"/>
        <v>179.13934426229508</v>
      </c>
      <c r="O66" s="18">
        <f t="shared" si="4"/>
        <v>0</v>
      </c>
      <c r="P66" s="19">
        <f t="shared" si="5"/>
        <v>-8.3606557377049171</v>
      </c>
      <c r="Q66" s="20">
        <f t="shared" si="6"/>
        <v>0.95540983606557373</v>
      </c>
      <c r="R66" s="170">
        <f>Q70</f>
        <v>0.95692486001988164</v>
      </c>
      <c r="S66" s="27">
        <v>0.20833333333333334</v>
      </c>
      <c r="T66" s="27">
        <v>0.29305555555555557</v>
      </c>
      <c r="U66" s="4"/>
      <c r="V66" s="21">
        <f t="shared" ref="V66:V69" si="41">(T66-S66)*24*60</f>
        <v>122</v>
      </c>
      <c r="W66" s="27"/>
      <c r="X66" s="27"/>
      <c r="Y66" s="27"/>
      <c r="Z66" s="27"/>
      <c r="AA66" s="162"/>
      <c r="AB66" s="162"/>
      <c r="AC66" s="24">
        <v>4</v>
      </c>
      <c r="AD66" s="24"/>
      <c r="AE66" s="18">
        <f t="shared" ref="AE66:AE76" si="42">M66-J66</f>
        <v>-66.885245901639337</v>
      </c>
      <c r="AF66" s="20">
        <f t="shared" si="9"/>
        <v>0.95540983606557373</v>
      </c>
      <c r="AG66" s="170">
        <f>AF70</f>
        <v>0.95692486001988164</v>
      </c>
    </row>
    <row r="67" spans="1:33" ht="15.75" customHeight="1">
      <c r="A67" s="172" t="s">
        <v>402</v>
      </c>
      <c r="B67" s="4" t="s">
        <v>108</v>
      </c>
      <c r="C67" s="163" t="s">
        <v>125</v>
      </c>
      <c r="D67" s="163"/>
      <c r="E67" s="35">
        <v>37.85</v>
      </c>
      <c r="F67" s="38">
        <v>1854</v>
      </c>
      <c r="G67" s="4">
        <f t="shared" si="39"/>
        <v>70173.900000000009</v>
      </c>
      <c r="H67" s="21" t="s">
        <v>133</v>
      </c>
      <c r="I67" s="15">
        <v>12</v>
      </c>
      <c r="J67" s="17">
        <v>2000</v>
      </c>
      <c r="K67" s="16">
        <f t="shared" si="1"/>
        <v>166.66666666666666</v>
      </c>
      <c r="L67" s="15">
        <v>12</v>
      </c>
      <c r="M67" s="17">
        <f t="shared" si="40"/>
        <v>1917.9310344827575</v>
      </c>
      <c r="N67" s="16">
        <f t="shared" si="3"/>
        <v>159.82758620689646</v>
      </c>
      <c r="O67" s="18">
        <f t="shared" si="4"/>
        <v>0</v>
      </c>
      <c r="P67" s="19">
        <f t="shared" si="5"/>
        <v>-6.8390804597702015</v>
      </c>
      <c r="Q67" s="20">
        <f t="shared" si="6"/>
        <v>0.9589655172413788</v>
      </c>
      <c r="R67" s="170"/>
      <c r="S67" s="27">
        <v>0.2986111111111111</v>
      </c>
      <c r="T67" s="27">
        <v>0.33888888888888891</v>
      </c>
      <c r="U67" s="4">
        <f t="shared" ref="U67:U69" si="43">(S67-T66)*24*60</f>
        <v>7.9999999999999716</v>
      </c>
      <c r="V67" s="21">
        <f t="shared" si="41"/>
        <v>58.000000000000036</v>
      </c>
      <c r="W67" s="4"/>
      <c r="X67" s="4"/>
      <c r="Y67" s="4"/>
      <c r="Z67" s="4"/>
      <c r="AA67" s="162"/>
      <c r="AB67" s="162"/>
      <c r="AC67" s="24"/>
      <c r="AD67" s="24"/>
      <c r="AE67" s="18">
        <f t="shared" si="42"/>
        <v>-82.068965517242532</v>
      </c>
      <c r="AF67" s="20">
        <f t="shared" si="9"/>
        <v>0.95896551724137868</v>
      </c>
      <c r="AG67" s="170"/>
    </row>
    <row r="68" spans="1:33" ht="15.75" customHeight="1">
      <c r="A68" s="172" t="s">
        <v>402</v>
      </c>
      <c r="B68" s="4" t="s">
        <v>108</v>
      </c>
      <c r="C68" s="163" t="s">
        <v>126</v>
      </c>
      <c r="D68" s="163"/>
      <c r="E68" s="35">
        <v>34.36</v>
      </c>
      <c r="F68" s="38">
        <v>2211</v>
      </c>
      <c r="G68" s="4">
        <f t="shared" si="39"/>
        <v>75969.959999999992</v>
      </c>
      <c r="H68" s="21" t="s">
        <v>133</v>
      </c>
      <c r="I68" s="15">
        <v>10</v>
      </c>
      <c r="J68" s="17">
        <v>3000</v>
      </c>
      <c r="K68" s="16">
        <f t="shared" si="1"/>
        <v>300</v>
      </c>
      <c r="L68" s="15">
        <v>10</v>
      </c>
      <c r="M68" s="17">
        <f t="shared" si="40"/>
        <v>2883.913043478261</v>
      </c>
      <c r="N68" s="16">
        <f t="shared" si="3"/>
        <v>288.39130434782612</v>
      </c>
      <c r="O68" s="18">
        <f t="shared" si="4"/>
        <v>0</v>
      </c>
      <c r="P68" s="19">
        <f t="shared" si="5"/>
        <v>-11.608695652173878</v>
      </c>
      <c r="Q68" s="20">
        <f t="shared" si="6"/>
        <v>0.96130434782608709</v>
      </c>
      <c r="R68" s="170"/>
      <c r="S68" s="27">
        <v>0.34444444444444444</v>
      </c>
      <c r="T68" s="27">
        <v>0.37638888888888888</v>
      </c>
      <c r="U68" s="4">
        <f t="shared" si="43"/>
        <v>7.9999999999999716</v>
      </c>
      <c r="V68" s="21">
        <f t="shared" si="41"/>
        <v>46</v>
      </c>
      <c r="W68" s="4"/>
      <c r="X68" s="4"/>
      <c r="Y68" s="4"/>
      <c r="Z68" s="4"/>
      <c r="AA68" s="162"/>
      <c r="AB68" s="162"/>
      <c r="AC68" s="24"/>
      <c r="AD68" s="24"/>
      <c r="AE68" s="18">
        <f t="shared" si="42"/>
        <v>-116.08695652173901</v>
      </c>
      <c r="AF68" s="20">
        <f t="shared" si="9"/>
        <v>0.96130434782608698</v>
      </c>
      <c r="AG68" s="170"/>
    </row>
    <row r="69" spans="1:33" ht="15.75" customHeight="1">
      <c r="A69" s="172" t="s">
        <v>402</v>
      </c>
      <c r="B69" s="4" t="s">
        <v>108</v>
      </c>
      <c r="C69" s="163" t="s">
        <v>127</v>
      </c>
      <c r="D69" s="163"/>
      <c r="E69" s="35">
        <v>35.119999999999997</v>
      </c>
      <c r="F69" s="38">
        <v>6616</v>
      </c>
      <c r="G69" s="4">
        <f t="shared" si="39"/>
        <v>232353.91999999998</v>
      </c>
      <c r="H69" s="21" t="s">
        <v>133</v>
      </c>
      <c r="I69" s="15">
        <v>10</v>
      </c>
      <c r="J69" s="17">
        <v>3000</v>
      </c>
      <c r="K69" s="16">
        <f t="shared" ref="K69:K76" si="44">J69/I69</f>
        <v>300</v>
      </c>
      <c r="L69" s="15">
        <v>10</v>
      </c>
      <c r="M69" s="17">
        <f t="shared" si="40"/>
        <v>2855.8273381294966</v>
      </c>
      <c r="N69" s="16">
        <f t="shared" ref="N69:N76" si="45">M69/L69</f>
        <v>285.58273381294964</v>
      </c>
      <c r="O69" s="18">
        <f t="shared" ref="O69:O76" si="46">L69-I69</f>
        <v>0</v>
      </c>
      <c r="P69" s="19">
        <f t="shared" ref="P69:P76" si="47">N69-K69</f>
        <v>-14.417266187050359</v>
      </c>
      <c r="Q69" s="20">
        <f t="shared" ref="Q69:Q76" si="48">N69/K69</f>
        <v>0.95194244604316547</v>
      </c>
      <c r="R69" s="170"/>
      <c r="S69" s="27">
        <v>0.37986111111111109</v>
      </c>
      <c r="T69" s="27">
        <v>0.47638888888888886</v>
      </c>
      <c r="U69" s="4">
        <f t="shared" si="43"/>
        <v>4.9999999999999822</v>
      </c>
      <c r="V69" s="21">
        <f t="shared" si="41"/>
        <v>139</v>
      </c>
      <c r="W69" s="4"/>
      <c r="X69" s="4"/>
      <c r="Y69" s="4"/>
      <c r="Z69" s="4"/>
      <c r="AA69" s="162"/>
      <c r="AB69" s="162"/>
      <c r="AC69" s="24"/>
      <c r="AD69" s="24"/>
      <c r="AE69" s="18">
        <f t="shared" si="42"/>
        <v>-144.17266187050336</v>
      </c>
      <c r="AF69" s="20">
        <f t="shared" ref="AF69:AF76" si="49">M69/J69</f>
        <v>0.95194244604316558</v>
      </c>
      <c r="AG69" s="170"/>
    </row>
    <row r="70" spans="1:33">
      <c r="A70" s="173" t="s">
        <v>839</v>
      </c>
      <c r="B70" s="35" t="s">
        <v>840</v>
      </c>
      <c r="C70" s="171"/>
      <c r="D70" s="171"/>
      <c r="E70" s="36"/>
      <c r="F70" s="16"/>
      <c r="G70" s="16"/>
      <c r="H70" s="4"/>
      <c r="I70" s="29">
        <v>10</v>
      </c>
      <c r="J70" s="17">
        <v>2375</v>
      </c>
      <c r="K70" s="16">
        <f t="shared" si="44"/>
        <v>237.5</v>
      </c>
      <c r="L70" s="29">
        <v>10</v>
      </c>
      <c r="M70" s="17">
        <f>AVERAGE(M66:M69)</f>
        <v>2272.696542547219</v>
      </c>
      <c r="N70" s="16">
        <f t="shared" si="45"/>
        <v>227.2696542547219</v>
      </c>
      <c r="O70" s="18">
        <f t="shared" si="46"/>
        <v>0</v>
      </c>
      <c r="P70" s="19">
        <f t="shared" si="47"/>
        <v>-10.2303457452781</v>
      </c>
      <c r="Q70" s="20">
        <f t="shared" si="48"/>
        <v>0.95692486001988164</v>
      </c>
      <c r="R70" s="170"/>
      <c r="S70" s="27"/>
      <c r="T70" s="27"/>
      <c r="U70" s="16"/>
      <c r="V70" s="21"/>
      <c r="W70" s="16"/>
      <c r="X70" s="16"/>
      <c r="Y70" s="30">
        <f>SUM(Y66:Y69)</f>
        <v>0</v>
      </c>
      <c r="Z70" s="30">
        <f>SUM(Z66:Z69)</f>
        <v>0</v>
      </c>
      <c r="AA70" s="166"/>
      <c r="AB70" s="166"/>
      <c r="AC70" s="30">
        <v>4</v>
      </c>
      <c r="AD70" s="30">
        <f>SUM(AD66:AD69)</f>
        <v>0</v>
      </c>
      <c r="AE70" s="18">
        <f t="shared" si="42"/>
        <v>-102.303457452781</v>
      </c>
      <c r="AF70" s="20">
        <f t="shared" si="49"/>
        <v>0.95692486001988164</v>
      </c>
      <c r="AG70" s="170"/>
    </row>
    <row r="71" spans="1:33" ht="15.75" customHeight="1">
      <c r="A71" s="167" t="s">
        <v>841</v>
      </c>
      <c r="B71" s="4" t="s">
        <v>97</v>
      </c>
      <c r="C71" s="163" t="s">
        <v>128</v>
      </c>
      <c r="D71" s="163"/>
      <c r="E71" s="35">
        <v>20.2</v>
      </c>
      <c r="F71" s="4">
        <v>2783</v>
      </c>
      <c r="G71" s="4">
        <f t="shared" ref="G71:G75" si="50">E71*F71</f>
        <v>56216.6</v>
      </c>
      <c r="H71" s="21" t="s">
        <v>133</v>
      </c>
      <c r="I71" s="15">
        <v>15</v>
      </c>
      <c r="J71" s="17">
        <v>2400</v>
      </c>
      <c r="K71" s="16">
        <f t="shared" si="44"/>
        <v>160</v>
      </c>
      <c r="L71" s="15">
        <v>15</v>
      </c>
      <c r="M71" s="17">
        <f t="shared" ref="M71:M75" si="51">F71/V71*60</f>
        <v>2287.3972602739723</v>
      </c>
      <c r="N71" s="16">
        <f t="shared" si="45"/>
        <v>152.49315068493149</v>
      </c>
      <c r="O71" s="18">
        <f t="shared" si="46"/>
        <v>0</v>
      </c>
      <c r="P71" s="19">
        <f t="shared" si="47"/>
        <v>-7.5068493150685072</v>
      </c>
      <c r="Q71" s="20">
        <f t="shared" si="48"/>
        <v>0.95308219178082187</v>
      </c>
      <c r="R71" s="170">
        <f>Q76</f>
        <v>0.95363368254094405</v>
      </c>
      <c r="S71" s="27">
        <v>8.3333333333333329E-2</v>
      </c>
      <c r="T71" s="27">
        <v>0.13402777777777777</v>
      </c>
      <c r="U71" s="27"/>
      <c r="V71" s="21">
        <f t="shared" ref="V71:V75" si="52">(T71-S71)*24*60</f>
        <v>73</v>
      </c>
      <c r="W71" s="22">
        <f>T71</f>
        <v>0.13402777777777777</v>
      </c>
      <c r="X71" s="22">
        <f>S72</f>
        <v>0.15486111111111112</v>
      </c>
      <c r="Y71" s="22"/>
      <c r="Z71" s="22"/>
      <c r="AA71" s="162"/>
      <c r="AB71" s="162"/>
      <c r="AC71" s="24">
        <v>5</v>
      </c>
      <c r="AD71" s="24"/>
      <c r="AE71" s="18">
        <f t="shared" si="42"/>
        <v>-112.60273972602772</v>
      </c>
      <c r="AF71" s="20">
        <f t="shared" si="49"/>
        <v>0.95308219178082176</v>
      </c>
      <c r="AG71" s="170">
        <f>AF76</f>
        <v>0.95363368254094405</v>
      </c>
    </row>
    <row r="72" spans="1:33" ht="15.75" customHeight="1">
      <c r="A72" s="168" t="s">
        <v>841</v>
      </c>
      <c r="B72" s="4" t="s">
        <v>97</v>
      </c>
      <c r="C72" s="163" t="s">
        <v>129</v>
      </c>
      <c r="D72" s="163"/>
      <c r="E72" s="35">
        <v>24.45</v>
      </c>
      <c r="F72" s="4">
        <v>3368</v>
      </c>
      <c r="G72" s="4">
        <f t="shared" si="50"/>
        <v>82347.599999999991</v>
      </c>
      <c r="H72" s="21" t="s">
        <v>133</v>
      </c>
      <c r="I72" s="15">
        <v>19</v>
      </c>
      <c r="J72" s="17">
        <v>2400</v>
      </c>
      <c r="K72" s="16">
        <f t="shared" si="44"/>
        <v>126.31578947368421</v>
      </c>
      <c r="L72" s="15">
        <v>19</v>
      </c>
      <c r="M72" s="17">
        <f t="shared" si="51"/>
        <v>2296.3636363636365</v>
      </c>
      <c r="N72" s="16">
        <f t="shared" si="45"/>
        <v>120.86124401913877</v>
      </c>
      <c r="O72" s="18">
        <f t="shared" si="46"/>
        <v>0</v>
      </c>
      <c r="P72" s="19">
        <f t="shared" si="47"/>
        <v>-5.454545454545439</v>
      </c>
      <c r="Q72" s="20">
        <f t="shared" si="48"/>
        <v>0.9568181818181819</v>
      </c>
      <c r="R72" s="170"/>
      <c r="S72" s="27">
        <v>0.15486111111111112</v>
      </c>
      <c r="T72" s="27">
        <v>0.21597222222222223</v>
      </c>
      <c r="U72" s="4">
        <f t="shared" ref="U72:U75" si="53">(S72-T71)*24*60</f>
        <v>30.000000000000014</v>
      </c>
      <c r="V72" s="21">
        <f t="shared" si="52"/>
        <v>88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42"/>
        <v>-103.63636363636351</v>
      </c>
      <c r="AF72" s="20">
        <f t="shared" si="49"/>
        <v>0.9568181818181819</v>
      </c>
      <c r="AG72" s="170"/>
    </row>
    <row r="73" spans="1:33" ht="15.75" customHeight="1">
      <c r="A73" s="168" t="s">
        <v>842</v>
      </c>
      <c r="B73" s="4" t="s">
        <v>97</v>
      </c>
      <c r="C73" s="163" t="s">
        <v>130</v>
      </c>
      <c r="D73" s="163"/>
      <c r="E73" s="35">
        <v>24.43</v>
      </c>
      <c r="F73" s="4">
        <v>7808</v>
      </c>
      <c r="G73" s="4">
        <f t="shared" si="50"/>
        <v>190749.44</v>
      </c>
      <c r="H73" s="21" t="s">
        <v>133</v>
      </c>
      <c r="I73" s="15">
        <v>14</v>
      </c>
      <c r="J73" s="17">
        <v>2400</v>
      </c>
      <c r="K73" s="16">
        <f t="shared" si="44"/>
        <v>171.42857142857142</v>
      </c>
      <c r="L73" s="15">
        <v>14</v>
      </c>
      <c r="M73" s="17">
        <f t="shared" si="51"/>
        <v>2285.2682926829261</v>
      </c>
      <c r="N73" s="16">
        <f t="shared" si="45"/>
        <v>163.23344947735185</v>
      </c>
      <c r="O73" s="18">
        <f t="shared" si="46"/>
        <v>0</v>
      </c>
      <c r="P73" s="19">
        <f t="shared" si="47"/>
        <v>-8.1951219512195621</v>
      </c>
      <c r="Q73" s="20">
        <f t="shared" si="48"/>
        <v>0.95219512195121925</v>
      </c>
      <c r="R73" s="170"/>
      <c r="S73" s="27">
        <v>0.2215277777777778</v>
      </c>
      <c r="T73" s="27">
        <v>0.36388888888888893</v>
      </c>
      <c r="U73" s="4">
        <f t="shared" si="53"/>
        <v>8.0000000000000107</v>
      </c>
      <c r="V73" s="21">
        <f t="shared" si="52"/>
        <v>205.00000000000003</v>
      </c>
      <c r="W73" s="22"/>
      <c r="X73" s="22"/>
      <c r="Y73" s="22"/>
      <c r="Z73" s="22"/>
      <c r="AA73" s="162"/>
      <c r="AB73" s="162"/>
      <c r="AC73" s="24"/>
      <c r="AD73" s="24"/>
      <c r="AE73" s="18">
        <f t="shared" si="42"/>
        <v>-114.73170731707387</v>
      </c>
      <c r="AF73" s="20">
        <f t="shared" si="49"/>
        <v>0.95219512195121925</v>
      </c>
      <c r="AG73" s="170"/>
    </row>
    <row r="74" spans="1:33" ht="15.75" customHeight="1">
      <c r="A74" s="168" t="s">
        <v>843</v>
      </c>
      <c r="B74" s="4" t="s">
        <v>97</v>
      </c>
      <c r="C74" s="163" t="s">
        <v>132</v>
      </c>
      <c r="D74" s="163"/>
      <c r="E74" s="35">
        <v>19.02</v>
      </c>
      <c r="F74" s="4">
        <v>6200</v>
      </c>
      <c r="G74" s="4">
        <f t="shared" si="50"/>
        <v>117924</v>
      </c>
      <c r="H74" s="21">
        <v>2</v>
      </c>
      <c r="I74" s="15">
        <v>14</v>
      </c>
      <c r="J74" s="17">
        <v>2400</v>
      </c>
      <c r="K74" s="16">
        <f t="shared" si="44"/>
        <v>171.42857142857142</v>
      </c>
      <c r="L74" s="15">
        <v>14</v>
      </c>
      <c r="M74" s="17">
        <f t="shared" si="51"/>
        <v>2282.2085889570553</v>
      </c>
      <c r="N74" s="16">
        <f t="shared" si="45"/>
        <v>163.01489921121825</v>
      </c>
      <c r="O74" s="18">
        <f t="shared" si="46"/>
        <v>0</v>
      </c>
      <c r="P74" s="19">
        <f t="shared" si="47"/>
        <v>-8.4136722173531666</v>
      </c>
      <c r="Q74" s="20">
        <f t="shared" si="48"/>
        <v>0.95092024539877318</v>
      </c>
      <c r="R74" s="170"/>
      <c r="S74" s="27">
        <v>0.36805555555555558</v>
      </c>
      <c r="T74" s="27">
        <v>0.48125000000000001</v>
      </c>
      <c r="U74" s="4">
        <f t="shared" si="53"/>
        <v>5.9999999999999787</v>
      </c>
      <c r="V74" s="21">
        <f t="shared" si="52"/>
        <v>162.99999999999997</v>
      </c>
      <c r="W74" s="22">
        <f>T74</f>
        <v>0.48125000000000001</v>
      </c>
      <c r="X74" s="22">
        <f>S75</f>
        <v>0.52083333333333337</v>
      </c>
      <c r="Y74" s="22"/>
      <c r="Z74" s="22"/>
      <c r="AA74" s="162"/>
      <c r="AB74" s="162"/>
      <c r="AC74" s="24"/>
      <c r="AD74" s="24"/>
      <c r="AE74" s="18">
        <f t="shared" si="42"/>
        <v>-117.79141104294467</v>
      </c>
      <c r="AF74" s="20">
        <f t="shared" si="49"/>
        <v>0.95092024539877307</v>
      </c>
      <c r="AG74" s="170"/>
    </row>
    <row r="75" spans="1:33" ht="15.75" customHeight="1">
      <c r="A75" s="168" t="s">
        <v>841</v>
      </c>
      <c r="B75" s="4" t="s">
        <v>97</v>
      </c>
      <c r="C75" s="163" t="s">
        <v>132</v>
      </c>
      <c r="D75" s="163"/>
      <c r="E75" s="35">
        <v>19.02</v>
      </c>
      <c r="F75" s="4">
        <v>5005</v>
      </c>
      <c r="G75" s="4">
        <f t="shared" si="50"/>
        <v>95195.099999999991</v>
      </c>
      <c r="H75" s="21" t="s">
        <v>133</v>
      </c>
      <c r="I75" s="15">
        <v>14</v>
      </c>
      <c r="J75" s="17">
        <v>2400</v>
      </c>
      <c r="K75" s="16">
        <f t="shared" si="44"/>
        <v>171.42857142857142</v>
      </c>
      <c r="L75" s="15">
        <v>14</v>
      </c>
      <c r="M75" s="17">
        <f t="shared" si="51"/>
        <v>2292.3664122137407</v>
      </c>
      <c r="N75" s="16">
        <f t="shared" si="45"/>
        <v>163.74045801526719</v>
      </c>
      <c r="O75" s="18">
        <f t="shared" si="46"/>
        <v>0</v>
      </c>
      <c r="P75" s="19">
        <f t="shared" si="47"/>
        <v>-7.6881134133042224</v>
      </c>
      <c r="Q75" s="20">
        <f t="shared" si="48"/>
        <v>0.95515267175572538</v>
      </c>
      <c r="R75" s="170"/>
      <c r="S75" s="27">
        <v>0.52083333333333337</v>
      </c>
      <c r="T75" s="27">
        <v>0.6118055555555556</v>
      </c>
      <c r="U75" s="4">
        <f t="shared" si="53"/>
        <v>57.000000000000036</v>
      </c>
      <c r="V75" s="21">
        <f t="shared" si="52"/>
        <v>131</v>
      </c>
      <c r="W75" s="22"/>
      <c r="X75" s="22"/>
      <c r="Y75" s="22"/>
      <c r="Z75" s="22"/>
      <c r="AA75" s="162"/>
      <c r="AB75" s="162"/>
      <c r="AC75" s="24"/>
      <c r="AD75" s="24"/>
      <c r="AE75" s="18">
        <f t="shared" si="42"/>
        <v>-107.63358778625934</v>
      </c>
      <c r="AF75" s="20">
        <f t="shared" si="49"/>
        <v>0.95515267175572527</v>
      </c>
      <c r="AG75" s="170"/>
    </row>
    <row r="76" spans="1:33" ht="16.5" customHeight="1">
      <c r="A76" s="169" t="s">
        <v>841</v>
      </c>
      <c r="B76" s="35" t="s">
        <v>844</v>
      </c>
      <c r="C76" s="164"/>
      <c r="D76" s="165"/>
      <c r="E76" s="36"/>
      <c r="F76" s="16"/>
      <c r="G76" s="16"/>
      <c r="H76" s="4"/>
      <c r="I76" s="29">
        <v>15.2</v>
      </c>
      <c r="J76" s="17">
        <v>2400</v>
      </c>
      <c r="K76" s="16">
        <f t="shared" si="44"/>
        <v>157.89473684210526</v>
      </c>
      <c r="L76" s="29">
        <v>15.2</v>
      </c>
      <c r="M76" s="17">
        <f>AVERAGE(M71:M75)</f>
        <v>2288.7208380982656</v>
      </c>
      <c r="N76" s="16">
        <f t="shared" si="45"/>
        <v>150.57373934857011</v>
      </c>
      <c r="O76" s="18">
        <f t="shared" si="46"/>
        <v>0</v>
      </c>
      <c r="P76" s="19">
        <f t="shared" si="47"/>
        <v>-7.3209974935351454</v>
      </c>
      <c r="Q76" s="20">
        <f t="shared" si="48"/>
        <v>0.95363368254094405</v>
      </c>
      <c r="R76" s="170"/>
      <c r="S76" s="27"/>
      <c r="T76" s="27"/>
      <c r="U76" s="16"/>
      <c r="V76" s="21"/>
      <c r="W76" s="16"/>
      <c r="X76" s="16"/>
      <c r="Y76" s="30">
        <f>SUM(Y71:Y75)</f>
        <v>0</v>
      </c>
      <c r="Z76" s="30">
        <f>SUM(Z71:Z75)</f>
        <v>0</v>
      </c>
      <c r="AA76" s="166"/>
      <c r="AB76" s="166"/>
      <c r="AC76" s="30">
        <v>5</v>
      </c>
      <c r="AD76" s="30">
        <f>SUM(AD71:AD75)</f>
        <v>0</v>
      </c>
      <c r="AE76" s="18">
        <f t="shared" si="42"/>
        <v>-111.27916190173437</v>
      </c>
      <c r="AF76" s="20">
        <f t="shared" si="49"/>
        <v>0.95363368254094405</v>
      </c>
      <c r="AG76" s="170"/>
    </row>
    <row r="77" spans="1:33">
      <c r="D77" s="41"/>
      <c r="E77" s="41"/>
    </row>
  </sheetData>
  <mergeCells count="205">
    <mergeCell ref="AG71:AG76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C76:D76"/>
    <mergeCell ref="A71:A76"/>
    <mergeCell ref="C71:D71"/>
    <mergeCell ref="R71:R76"/>
    <mergeCell ref="AA71:AB71"/>
    <mergeCell ref="AA76:AB76"/>
    <mergeCell ref="A66:A70"/>
    <mergeCell ref="C66:D66"/>
    <mergeCell ref="R66:R70"/>
    <mergeCell ref="AA66:AB66"/>
    <mergeCell ref="AG66:AG70"/>
    <mergeCell ref="C67:D67"/>
    <mergeCell ref="AA67:AB67"/>
    <mergeCell ref="C68:D68"/>
    <mergeCell ref="AA68:AB68"/>
    <mergeCell ref="C69:D69"/>
    <mergeCell ref="C63:D63"/>
    <mergeCell ref="AA63:AB63"/>
    <mergeCell ref="C64:D64"/>
    <mergeCell ref="AA64:AB64"/>
    <mergeCell ref="C65:D65"/>
    <mergeCell ref="AA65:AB65"/>
    <mergeCell ref="AG56:AG65"/>
    <mergeCell ref="AA69:AB69"/>
    <mergeCell ref="C70:D70"/>
    <mergeCell ref="AA70:AB70"/>
    <mergeCell ref="AA59:AB59"/>
    <mergeCell ref="AA60:AB60"/>
    <mergeCell ref="C61:D61"/>
    <mergeCell ref="AA61:AB61"/>
    <mergeCell ref="C62:D62"/>
    <mergeCell ref="AA62:AB62"/>
    <mergeCell ref="A56:A65"/>
    <mergeCell ref="C56:D56"/>
    <mergeCell ref="R56:R65"/>
    <mergeCell ref="AA56:AB56"/>
    <mergeCell ref="C57:D57"/>
    <mergeCell ref="AA57:AB57"/>
    <mergeCell ref="C58:D58"/>
    <mergeCell ref="AA58:AB58"/>
    <mergeCell ref="A48:A55"/>
    <mergeCell ref="C48:D48"/>
    <mergeCell ref="R48:R55"/>
    <mergeCell ref="AA48:AB48"/>
    <mergeCell ref="AA53:AB53"/>
    <mergeCell ref="C54:D54"/>
    <mergeCell ref="AA54:AB54"/>
    <mergeCell ref="C55:D55"/>
    <mergeCell ref="AG48:AG55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53:D53"/>
    <mergeCell ref="AA55:AB55"/>
    <mergeCell ref="AG38:AG47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C47:D47"/>
    <mergeCell ref="AA47:AB47"/>
    <mergeCell ref="A38:A47"/>
    <mergeCell ref="C38:D38"/>
    <mergeCell ref="R38:R47"/>
    <mergeCell ref="AA38:AB38"/>
    <mergeCell ref="AA43:AB43"/>
    <mergeCell ref="C44:D44"/>
    <mergeCell ref="AA44:AB44"/>
    <mergeCell ref="C45:D45"/>
    <mergeCell ref="AA45:AB45"/>
    <mergeCell ref="C46:D46"/>
    <mergeCell ref="AA46:AB46"/>
    <mergeCell ref="A28:A37"/>
    <mergeCell ref="C28:D28"/>
    <mergeCell ref="R28:R37"/>
    <mergeCell ref="AA28:AB28"/>
    <mergeCell ref="AA33:AB33"/>
    <mergeCell ref="C34:D34"/>
    <mergeCell ref="AA34:AB34"/>
    <mergeCell ref="C35:D35"/>
    <mergeCell ref="AG28:AG37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5:AB35"/>
    <mergeCell ref="C36:D36"/>
    <mergeCell ref="AA36:AB36"/>
    <mergeCell ref="C37:D37"/>
    <mergeCell ref="AA37:AB37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15:AG20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C20:D20"/>
    <mergeCell ref="AA20:AB2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6">
    <cfRule type="cellIs" dxfId="72" priority="1" operator="greaterThan">
      <formula>0</formula>
    </cfRule>
  </conditionalFormatting>
  <conditionalFormatting sqref="P5:P76">
    <cfRule type="cellIs" dxfId="71" priority="4" operator="lessThan">
      <formula>0</formula>
    </cfRule>
  </conditionalFormatting>
  <conditionalFormatting sqref="Q5:Q76">
    <cfRule type="cellIs" dxfId="70" priority="2" operator="greaterThan">
      <formula>1</formula>
    </cfRule>
    <cfRule type="cellIs" dxfId="69" priority="3" operator="lessThan">
      <formula>0.8</formula>
    </cfRule>
  </conditionalFormatting>
  <conditionalFormatting sqref="R5:R11 AG5:AG11">
    <cfRule type="cellIs" dxfId="68" priority="70" operator="lessThan">
      <formula>0.8</formula>
    </cfRule>
  </conditionalFormatting>
  <conditionalFormatting sqref="AE5:AE76">
    <cfRule type="cellIs" dxfId="67" priority="17" operator="lessThan">
      <formula>0</formula>
    </cfRule>
  </conditionalFormatting>
  <conditionalFormatting sqref="AF5:AF76">
    <cfRule type="cellIs" dxfId="66" priority="15" operator="greaterThan">
      <formula>1</formula>
    </cfRule>
    <cfRule type="cellIs" dxfId="65" priority="16" operator="lessThan">
      <formula>0.8</formula>
    </cfRule>
  </conditionalFormatting>
  <conditionalFormatting sqref="AG15:AG69 R15:R76">
    <cfRule type="cellIs" dxfId="64" priority="5" operator="lessThan">
      <formula>0.8</formula>
    </cfRule>
  </conditionalFormatting>
  <dataValidations count="1">
    <dataValidation type="list" allowBlank="1" showInputMessage="1" showErrorMessage="1" sqref="AB10 AA5:AB9 AB12:AB66 AA10:AA69 AA70:AB76" xr:uid="{00000000-0002-0000-2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Q32"/>
  <sheetViews>
    <sheetView zoomScale="85" zoomScaleNormal="85" workbookViewId="0">
      <selection activeCell="G4" sqref="G4:H4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705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706</v>
      </c>
      <c r="C3" s="151" t="str">
        <f>TEXT('0307 4度C'!A2,"yyyy.mm.ddaaaa")</f>
        <v>2026.03.07星期六</v>
      </c>
      <c r="D3" s="152"/>
      <c r="E3" s="45" t="s">
        <v>707</v>
      </c>
      <c r="F3" s="153">
        <f>'0307 4度C'!D1</f>
        <v>140332</v>
      </c>
      <c r="G3" s="154"/>
      <c r="H3" s="45" t="s">
        <v>708</v>
      </c>
      <c r="I3" s="155">
        <f>'0307 4度C'!F1</f>
        <v>4703503.47</v>
      </c>
      <c r="J3" s="156"/>
      <c r="K3" s="46"/>
      <c r="L3" s="47"/>
      <c r="M3" s="47"/>
      <c r="N3" s="47"/>
    </row>
    <row r="4" spans="2:17" ht="28.5" customHeight="1">
      <c r="B4" s="157" t="s">
        <v>709</v>
      </c>
      <c r="C4" s="143" t="s">
        <v>710</v>
      </c>
      <c r="D4" s="144"/>
      <c r="E4" s="160" t="s">
        <v>711</v>
      </c>
      <c r="F4" s="161"/>
      <c r="G4" s="160" t="s">
        <v>712</v>
      </c>
      <c r="H4" s="161"/>
      <c r="I4" s="160" t="s">
        <v>713</v>
      </c>
      <c r="J4" s="161"/>
      <c r="K4" s="141" t="s">
        <v>714</v>
      </c>
      <c r="L4" s="142"/>
      <c r="M4" s="142" t="s">
        <v>715</v>
      </c>
      <c r="N4" s="142"/>
    </row>
    <row r="5" spans="2:17" ht="28.5" customHeight="1">
      <c r="B5" s="158"/>
      <c r="C5" s="143" t="s">
        <v>716</v>
      </c>
      <c r="D5" s="144"/>
      <c r="E5" s="143" t="s">
        <v>717</v>
      </c>
      <c r="F5" s="144"/>
      <c r="G5" s="145" t="s">
        <v>718</v>
      </c>
      <c r="H5" s="146"/>
      <c r="I5" s="147" t="s">
        <v>719</v>
      </c>
      <c r="J5" s="148"/>
      <c r="K5" s="48" t="s">
        <v>720</v>
      </c>
      <c r="L5" s="49" t="s">
        <v>721</v>
      </c>
      <c r="M5" s="48" t="s">
        <v>720</v>
      </c>
      <c r="N5" s="49" t="s">
        <v>722</v>
      </c>
    </row>
    <row r="6" spans="2:17" ht="28.5" customHeight="1">
      <c r="B6" s="158"/>
      <c r="C6" s="143" t="s">
        <v>153</v>
      </c>
      <c r="D6" s="144"/>
      <c r="E6" s="135">
        <f>AVERAGE(D13:M13)</f>
        <v>151.6425448242195</v>
      </c>
      <c r="F6" s="136">
        <f>AVERAGE(D31:O31,D13:J13)</f>
        <v>155.31449629567442</v>
      </c>
      <c r="G6" s="137">
        <f>AVERAGE(D13:J13)</f>
        <v>155.31449629567442</v>
      </c>
      <c r="H6" s="138"/>
      <c r="I6" s="137">
        <f>AVERAGE(K13:M13)</f>
        <v>143.07465805749143</v>
      </c>
      <c r="J6" s="138"/>
      <c r="K6" s="139">
        <f>'0307 4度C'!Y2</f>
        <v>0</v>
      </c>
      <c r="L6" s="124">
        <f>'0307 4度C'!Z2</f>
        <v>0</v>
      </c>
      <c r="M6" s="140">
        <f>'0307 4度C'!AC2</f>
        <v>51</v>
      </c>
      <c r="N6" s="124">
        <f>'0307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145.29147687658525</v>
      </c>
      <c r="F7" s="128">
        <f>AVERAGE(D32:O32,D14:J14)</f>
        <v>148.83096684807953</v>
      </c>
      <c r="G7" s="129">
        <f>AVERAGE(D14:J14)</f>
        <v>148.83096684807953</v>
      </c>
      <c r="H7" s="130"/>
      <c r="I7" s="129">
        <f>AVERAGE(K14:M14)</f>
        <v>137.03266694309846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0.9578480077627185</v>
      </c>
      <c r="F8" s="132">
        <f>AVERAGE(D15:J15,D33:O33)</f>
        <v>0.95785561050052859</v>
      </c>
      <c r="G8" s="133">
        <f>AVERAGE(D15:J15)</f>
        <v>0.95785561050052859</v>
      </c>
      <c r="H8" s="134"/>
      <c r="I8" s="133">
        <f>AVERAGE(K15:M15)</f>
        <v>0.95783026804116156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723</v>
      </c>
      <c r="N9" s="47"/>
      <c r="O9" s="47"/>
      <c r="P9" s="47"/>
      <c r="Q9" s="47"/>
    </row>
    <row r="10" spans="2:17" ht="30" customHeight="1">
      <c r="B10" s="107" t="s">
        <v>724</v>
      </c>
      <c r="C10" s="108"/>
      <c r="D10" s="109" t="s">
        <v>725</v>
      </c>
      <c r="E10" s="110"/>
      <c r="F10" s="110"/>
      <c r="G10" s="110"/>
      <c r="H10" s="110"/>
      <c r="I10" s="110"/>
      <c r="J10" s="111"/>
      <c r="K10" s="112" t="s">
        <v>726</v>
      </c>
      <c r="L10" s="113"/>
      <c r="M10" s="114"/>
      <c r="P10" s="53"/>
      <c r="Q10" s="53"/>
    </row>
    <row r="11" spans="2:17" ht="17.25" customHeight="1">
      <c r="B11" s="115" t="s">
        <v>727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728</v>
      </c>
      <c r="C13" s="60" t="s">
        <v>729</v>
      </c>
      <c r="D13" s="61">
        <f>SUMIFS('0307 4度C'!$K:$K,'0307 4度C'!$A:$A,"新豐6線",'0307 4度C'!$B:$B,"平均")</f>
        <v>115.38461538461539</v>
      </c>
      <c r="E13" s="62">
        <f>SUMIFS('0307 4度C'!$K:$K,'0307 4度C'!$A:$A,"新豐2線",'0307 4度C'!$B:$B,"平均")</f>
        <v>83.333333333333329</v>
      </c>
      <c r="F13" s="63">
        <f>SUMIFS('0307 4度C'!$K:$K,'0307 4度C'!$A:$A,"新豐5線",'0307 4度C'!$B:$B,"平均")</f>
        <v>104.16666666666667</v>
      </c>
      <c r="G13" s="63">
        <f>SUMIFS('0307 4度C'!$K:$K,'0307 4度C'!$A:$A,"新豐7線",'0307 4度C'!$B:$B,"平均")</f>
        <v>128.37837837837839</v>
      </c>
      <c r="H13" s="63">
        <f>SUMIFS('0307 4度C'!$K:$K,'0307 4度C'!$A:$A,"新豐3線",'0307 4度C'!$B:$B,"平均")</f>
        <v>315.78947368421052</v>
      </c>
      <c r="I13" s="63">
        <f>SUMIFS('0307 4度C'!$K:$K,'0307 4度C'!$A:$A,"新豐1線",'0307 4度C'!$B:$B,"平均")</f>
        <v>102.64900662251655</v>
      </c>
      <c r="J13" s="64">
        <f>SUMIFS('0307 4度C'!$K:$K,'0307 4度C'!$A:$A,"新豐10線",'0307 4度C'!$B:$B,"平均")</f>
        <v>237.5</v>
      </c>
      <c r="K13" s="65">
        <f>SUMIFS('0307 4度C'!$K:$K,'0307 4度C'!$A:$A,"新豐8線",'0307 4度C'!$B:$B,"平均")</f>
        <v>134.57943925233647</v>
      </c>
      <c r="L13" s="66">
        <f>SUMIFS('0307 4度C'!$K:$K,'0307 4度C'!$A:$A,"新豐9線",'0307 4度C'!$B:$B,"平均")</f>
        <v>139.80582524271844</v>
      </c>
      <c r="M13" s="64">
        <f>SUMIFS('0307 4度C'!$K:$K,'0307 4度C'!$A:$A,"新豐4線",'0307 4度C'!$B:$B,"平均")</f>
        <v>154.83870967741936</v>
      </c>
    </row>
    <row r="14" spans="2:17" ht="39.6" customHeight="1">
      <c r="B14" s="120"/>
      <c r="C14" s="67" t="s">
        <v>730</v>
      </c>
      <c r="D14" s="68">
        <f>SUMIFS('0307 4度C'!$N:$N,'0307 4度C'!$A:$A,"新豐6線",'0307 4度C'!$B:$B,"平均")</f>
        <v>110.91115941486683</v>
      </c>
      <c r="E14" s="69">
        <f>SUMIFS('0307 4度C'!$N:$N,'0307 4度C'!$A:$A,"新豐2線",'0307 4度C'!$B:$B,"平均")</f>
        <v>79.460594555696161</v>
      </c>
      <c r="F14" s="69">
        <f>SUMIFS('0307 4度C'!$N:$N,'0307 4度C'!$A:$A,"新豐5線",'0307 4度C'!$B:$B,"平均")</f>
        <v>99.820144414971878</v>
      </c>
      <c r="G14" s="69">
        <f>SUMIFS('0307 4度C'!$N:$N,'0307 4度C'!$A:$A,"新豐7線",'0307 4度C'!$B:$B,"平均")</f>
        <v>123.35106427695132</v>
      </c>
      <c r="H14" s="69">
        <f>SUMIFS('0307 4度C'!$N:$N,'0307 4度C'!$A:$A,"新豐3線",'0307 4度C'!$B:$B,"平均")</f>
        <v>302.43676448224238</v>
      </c>
      <c r="I14" s="69">
        <f>SUMIFS('0307 4度C'!$N:$N,'0307 4度C'!$A:$A,"新豐1線",'0307 4度C'!$B:$B,"平均")</f>
        <v>97.887710501656287</v>
      </c>
      <c r="J14" s="70">
        <f>SUMIFS('0307 4度C'!$N:$N,'0307 4度C'!$A:$A,"新豐10線",'0307 4度C'!$B:$B,"平均")</f>
        <v>227.94933029017184</v>
      </c>
      <c r="K14" s="71">
        <f>SUMIFS('0307 4度C'!$N:$N,'0307 4度C'!$A:$A,"新豐8線",'0307 4度C'!$B:$B,"平均")</f>
        <v>129.1964031312136</v>
      </c>
      <c r="L14" s="72">
        <f>SUMIFS('0307 4度C'!$N:$N,'0307 4度C'!$A:$A,"新豐9線",'0307 4度C'!$B:$B,"平均")</f>
        <v>133.74038584167118</v>
      </c>
      <c r="M14" s="70">
        <f>SUMIFS('0307 4度C'!$N:$N,'0307 4度C'!$A:$A,"新豐4線",'0307 4度C'!$B:$B,"平均")</f>
        <v>148.16121185641066</v>
      </c>
    </row>
    <row r="15" spans="2:17" ht="40.15" customHeight="1">
      <c r="B15" s="121"/>
      <c r="C15" s="73" t="s">
        <v>731</v>
      </c>
      <c r="D15" s="74">
        <f t="shared" ref="D15:M15" si="0">D14/D13</f>
        <v>0.96123004826217917</v>
      </c>
      <c r="E15" s="75">
        <f t="shared" si="0"/>
        <v>0.95352713466835404</v>
      </c>
      <c r="F15" s="75">
        <f t="shared" si="0"/>
        <v>0.95827338638372994</v>
      </c>
      <c r="G15" s="75">
        <f t="shared" si="0"/>
        <v>0.96083986910467334</v>
      </c>
      <c r="H15" s="75">
        <f t="shared" si="0"/>
        <v>0.95771642086043418</v>
      </c>
      <c r="I15" s="75">
        <f t="shared" si="0"/>
        <v>0.95361576037097417</v>
      </c>
      <c r="J15" s="76">
        <f t="shared" si="0"/>
        <v>0.95978665385335515</v>
      </c>
      <c r="K15" s="74">
        <f t="shared" si="0"/>
        <v>0.96000105104443423</v>
      </c>
      <c r="L15" s="75">
        <f t="shared" si="0"/>
        <v>0.95661525983973139</v>
      </c>
      <c r="M15" s="76">
        <f t="shared" si="0"/>
        <v>0.95687449323931884</v>
      </c>
    </row>
    <row r="16" spans="2:17" ht="17.25" customHeight="1">
      <c r="B16" s="122" t="s">
        <v>732</v>
      </c>
      <c r="C16" s="77" t="s">
        <v>733</v>
      </c>
      <c r="D16" s="78">
        <f>VLOOKUP("新豐6線",'0307 4度C'!$A:$T,19,0)</f>
        <v>0.70833333333333337</v>
      </c>
      <c r="E16" s="79">
        <f>VLOOKUP("新豐2線",'0307 4度C'!$A:$T,19,0)</f>
        <v>0.20833333333333334</v>
      </c>
      <c r="F16" s="79">
        <f>VLOOKUP("新豐5線",'0307 4度C'!$A:$T,19,0)</f>
        <v>0.20833333333333334</v>
      </c>
      <c r="G16" s="79">
        <f>VLOOKUP("新豐7線",'0307 4度C'!$A:$T,19,0)</f>
        <v>0.20833333333333334</v>
      </c>
      <c r="H16" s="79">
        <f>VLOOKUP("新豐3線",'0307 4度C'!$A:$T,19,0)</f>
        <v>8.3333333333333329E-2</v>
      </c>
      <c r="I16" s="79">
        <f>VLOOKUP("新豐1線",'0307 4度C'!$A:$T,19,0)</f>
        <v>0.20833333333333334</v>
      </c>
      <c r="J16" s="80">
        <f>VLOOKUP("新豐10線",'0307 4度C'!$A:$T,19,0)</f>
        <v>0.20833333333333334</v>
      </c>
      <c r="K16" s="81">
        <f>VLOOKUP("新豐8線",'0307 4度C'!$A:$T,19,0)</f>
        <v>8.3333333333333329E-2</v>
      </c>
      <c r="L16" s="82">
        <f>VLOOKUP("新豐9線",'0307 4度C'!$A:$T,19,0)</f>
        <v>8.3333333333333329E-2</v>
      </c>
      <c r="M16" s="83">
        <f>VLOOKUP("新豐4線",'0307 4度C'!$A:$T,19,0)</f>
        <v>8.3333333333333329E-2</v>
      </c>
    </row>
    <row r="17" spans="2:13" ht="17.25" customHeight="1">
      <c r="B17" s="123"/>
      <c r="C17" s="77" t="s">
        <v>734</v>
      </c>
      <c r="D17" s="81">
        <f>LOOKUP(2,1/(('0307 4度C'!$A:$A="新豐6線")*('0307 4度C'!$T:$T&lt;&gt;"")),'0307 4度C'!$T:$T)</f>
        <v>0.83472222222222214</v>
      </c>
      <c r="E17" s="79">
        <f>LOOKUP(2,1/(('0307 4度C'!$A:$A="新豐2線")*('0307 4度C'!$T:$T&lt;&gt;"")),'0307 4度C'!$T:$T)</f>
        <v>0.4465277777777778</v>
      </c>
      <c r="F17" s="79">
        <f>LOOKUP(2,1/(('0307 4度C'!$A:$A="新豐5線")*('0307 4度C'!$T:$T&lt;&gt;"")),'0307 4度C'!$T:$T)</f>
        <v>0.84097222222222234</v>
      </c>
      <c r="G17" s="79">
        <f>LOOKUP(2,1/(('0307 4度C'!$A:$A="新豐7線")*('0307 4度C'!$T:$T&lt;&gt;"")),'0307 4度C'!$T:$T)</f>
        <v>0.84652777777777766</v>
      </c>
      <c r="H17" s="79">
        <f>LOOKUP(2,1/(('0307 4度C'!$A:$A="新豐3線")*('0307 4度C'!$T:$T&lt;&gt;"")),'0307 4度C'!$T:$T)</f>
        <v>0.48124999999999996</v>
      </c>
      <c r="I17" s="79">
        <f>LOOKUP(2,1/(('0307 4度C'!$A:$A="新豐1線")*('0307 4度C'!$T:$T&lt;&gt;"")),'0307 4度C'!$T:$T)</f>
        <v>0.84930555555555554</v>
      </c>
      <c r="J17" s="80">
        <f>LOOKUP(2,1/(('0307 4度C'!$A:$A="新豐10線")*('0307 4度C'!$T:$T&lt;&gt;"")),'0307 4度C'!$T:$T)</f>
        <v>0.42916666666666664</v>
      </c>
      <c r="K17" s="78">
        <f>LOOKUP(2,1/(('0307 4度C'!$A:$A="新豐8線")*('0307 4度C'!$T:$T&lt;&gt;"")),'0307 4度C'!$T:$T)</f>
        <v>0.50902777777777775</v>
      </c>
      <c r="L17" s="79">
        <f>LOOKUP(2,1/(('0307 4度C'!$A:$A="新豐9線")*('0307 4度C'!$T:$T&lt;&gt;"")),'0307 4度C'!$T:$T)</f>
        <v>0.58611111111111103</v>
      </c>
      <c r="M17" s="80">
        <f>LOOKUP(2,1/(('0307 4度C'!$A:$A="新豐4線")*('0307 4度C'!$T:$T&lt;&gt;"")),'0307 4度C'!$T:$T)</f>
        <v>0.42152777777777778</v>
      </c>
    </row>
    <row r="18" spans="2:13" ht="17.25" customHeight="1">
      <c r="B18" s="101" t="s">
        <v>735</v>
      </c>
      <c r="C18" s="84" t="s">
        <v>736</v>
      </c>
      <c r="D18" s="85">
        <f>SUMIFS('0307 4度C'!$Y:$Y,'0307 4度C'!$A:$A,"新豐6線",'0307 4度C'!$B:$B,"平均")</f>
        <v>0</v>
      </c>
      <c r="E18" s="86">
        <f>SUMIFS('0307 4度C'!$Y:$Y,'0307 4度C'!$A:$A,"新豐2線",'0307 4度C'!$B:$B,"平均")</f>
        <v>0</v>
      </c>
      <c r="F18" s="86">
        <f>SUMIFS('0307 4度C'!$Y:$Y,'0307 4度C'!$A:$A,"新豐5線",'0307 4度C'!$B:$B,"平均")</f>
        <v>0</v>
      </c>
      <c r="G18" s="86">
        <f>SUMIFS('0307 4度C'!$Y:$Y,'0307 4度C'!$A:$A,"新豐7線",'0307 4度C'!$B:$B,"平均")</f>
        <v>0</v>
      </c>
      <c r="H18" s="86">
        <f>SUMIFS('0307 4度C'!$Y:$Y,'0307 4度C'!$A:$A,"新豐3線",'0307 4度C'!$B:$B,"平均")</f>
        <v>0</v>
      </c>
      <c r="I18" s="86">
        <f>SUMIFS('0307 4度C'!$Y:$Y,'0307 4度C'!$A:$A,"新豐1線",'0307 4度C'!$B:$B,"平均")</f>
        <v>0</v>
      </c>
      <c r="J18" s="87">
        <f>SUMIFS('0307 4度C'!$Y:$Y,'0307 4度C'!$A:$A,"新豐10線",'0307 4度C'!$B:$B,"平均")</f>
        <v>0</v>
      </c>
      <c r="K18" s="88">
        <f>SUMIFS('0307 4度C'!$Y:$Y,'0307 4度C'!$A:$A,"新豐8線",'0307 4度C'!$B:$B,"平均")</f>
        <v>0</v>
      </c>
      <c r="L18" s="86">
        <f>SUMIFS('0307 4度C'!$Y:$Y,'0307 4度C'!$A:$A,"新豐9線",'0307 4度C'!$B:$B,"平均")</f>
        <v>0</v>
      </c>
      <c r="M18" s="87">
        <f>SUMIFS('0307 4度C'!$Y:$Y,'0307 4度C'!$A:$A,"新豐4線",'0307 4度C'!$B:$B,"平均")</f>
        <v>0</v>
      </c>
    </row>
    <row r="19" spans="2:13" ht="17.25" customHeight="1">
      <c r="B19" s="102"/>
      <c r="C19" s="84" t="s">
        <v>737</v>
      </c>
      <c r="D19" s="85">
        <f>SUMIFS('0307 4度C'!$Z:$Z,'0307 4度C'!$A:$A,"新豐6線",'0307 4度C'!$B:$B,"平均")</f>
        <v>0</v>
      </c>
      <c r="E19" s="86">
        <f>SUMIFS('0307 4度C'!$Z:$Z,'0307 4度C'!$A:$A,"新豐2線",'0307 4度C'!$B:$B,"平均")</f>
        <v>0</v>
      </c>
      <c r="F19" s="86">
        <f>SUMIFS('0307 4度C'!$Z:$Z,'0307 4度C'!$A:$A,"新豐5線",'0307 4度C'!$B:$B,"平均")</f>
        <v>0</v>
      </c>
      <c r="G19" s="86">
        <f>SUMIFS('0307 4度C'!$Z:$Z,'0307 4度C'!$A:$A,"新豐7線",'0307 4度C'!$B:$B,"平均")</f>
        <v>0</v>
      </c>
      <c r="H19" s="86">
        <f>SUMIFS('0307 4度C'!$Z:$Z,'0307 4度C'!$A:$A,"新豐3線",'0307 4度C'!$B:$B,"平均")</f>
        <v>0</v>
      </c>
      <c r="I19" s="86">
        <f>SUMIFS('0307 4度C'!$Z:$Z,'0307 4度C'!$A:$A,"新豐1線",'0307 4度C'!$B:$B,"平均")</f>
        <v>0</v>
      </c>
      <c r="J19" s="87">
        <f>SUMIFS('0307 4度C'!$Z:$Z,'0307 4度C'!$A:$A,"新豐10線",'0307 4度C'!$B:$B,"平均")</f>
        <v>0</v>
      </c>
      <c r="K19" s="88">
        <f>SUMIFS('0307 4度C'!$Z:$Z,'0307 4度C'!$A:$A,"新豐8線",'0307 4度C'!$B:$B,"平均")</f>
        <v>0</v>
      </c>
      <c r="L19" s="86">
        <f>SUMIFS('0307 4度C'!$Z:$Z,'0307 4度C'!$A:$A,"新豐9線",'0307 4度C'!$B:$B,"平均")</f>
        <v>0</v>
      </c>
      <c r="M19" s="87">
        <f>SUMIFS('0307 4度C'!$Z:$Z,'0307 4度C'!$A:$A,"新豐4線",'0307 4度C'!$B:$B,"平均")</f>
        <v>0</v>
      </c>
    </row>
    <row r="20" spans="2:13" ht="17.25" customHeight="1">
      <c r="B20" s="101" t="s">
        <v>738</v>
      </c>
      <c r="C20" s="84" t="s">
        <v>736</v>
      </c>
      <c r="D20" s="85">
        <f>SUMIFS('0307 4度C'!$AC:$AC,'0307 4度C'!$A:$A,"新豐6線",'0307 4度C'!$B:$B,"平均")</f>
        <v>6</v>
      </c>
      <c r="E20" s="86">
        <f>SUMIFS('0307 4度C'!$AC:$AC,'0307 4度C'!$A:$A,"新豐2線",'0307 4度C'!$B:$B,"平均")</f>
        <v>2</v>
      </c>
      <c r="F20" s="86">
        <f>SUMIFS('0307 4度C'!$AC:$AC,'0307 4度C'!$A:$A,"新豐5線",'0307 4度C'!$B:$B,"平均")</f>
        <v>4</v>
      </c>
      <c r="G20" s="86">
        <f>SUMIFS('0307 4度C'!$AC:$AC,'0307 4度C'!$A:$A,"新豐7線",'0307 4度C'!$B:$B,"平均")</f>
        <v>5</v>
      </c>
      <c r="H20" s="86">
        <f>SUMIFS('0307 4度C'!$AC:$AC,'0307 4度C'!$A:$A,"新豐3線",'0307 4度C'!$B:$B,"平均")</f>
        <v>6</v>
      </c>
      <c r="I20" s="86">
        <f>SUMIFS('0307 4度C'!$AC:$AC,'0307 4度C'!$A:$A,"新豐1線",'0307 4度C'!$B:$B,"平均")</f>
        <v>8</v>
      </c>
      <c r="J20" s="87">
        <f>SUMIFS('0307 4度C'!$AC:$AC,'0307 4度C'!$A:$A,"新豐10線",'0307 4度C'!$B:$B,"平均")</f>
        <v>4</v>
      </c>
      <c r="K20" s="88">
        <f>SUMIFS('0307 4度C'!$AC:$AC,'0307 4度C'!$A:$A,"新豐8線",'0307 4度C'!$B:$B,"平均")</f>
        <v>6</v>
      </c>
      <c r="L20" s="86">
        <f>SUMIFS('0307 4度C'!$AC:$AC,'0307 4度C'!$A:$A,"新豐9線",'0307 4度C'!$B:$B,"平均")</f>
        <v>6</v>
      </c>
      <c r="M20" s="87">
        <f>SUMIFS('0307 4度C'!$AC:$AC,'0307 4度C'!$A:$A,"新豐4線",'0307 4度C'!$B:$B,"平均")</f>
        <v>4</v>
      </c>
    </row>
    <row r="21" spans="2:13" ht="17.25" customHeight="1">
      <c r="B21" s="102"/>
      <c r="C21" s="84" t="s">
        <v>739</v>
      </c>
      <c r="D21" s="85">
        <f>SUMIFS('0307 4度C'!$AD:$AD,'0307 4度C'!$A:$A,"新豐6線",'0307 4度C'!$B:$B,"平均")</f>
        <v>0</v>
      </c>
      <c r="E21" s="86">
        <f>SUMIFS('0307 4度C'!$AD:$AD,'0307 4度C'!$A:$A,"新豐2線",'0307 4度C'!$B:$B,"平均")</f>
        <v>0</v>
      </c>
      <c r="F21" s="86">
        <f>SUMIFS('0307 4度C'!$AD:$AD,'0307 4度C'!$A:$A,"新豐5線",'0307 4度C'!$B:$B,"平均")</f>
        <v>0</v>
      </c>
      <c r="G21" s="86">
        <f>SUMIFS('0307 4度C'!$AD:$AD,'0307 4度C'!$A:$A,"新豐7線",'0307 4度C'!$B:$B,"平均")</f>
        <v>0</v>
      </c>
      <c r="H21" s="86">
        <f>SUMIFS('0307 4度C'!$AD:$AD,'0307 4度C'!$A:$A,"新豐3線",'0307 4度C'!$B:$B,"平均")</f>
        <v>0</v>
      </c>
      <c r="I21" s="86">
        <f>SUMIFS('0307 4度C'!$AD:$AD,'0307 4度C'!$A:$A,"新豐1線",'0307 4度C'!$B:$B,"平均")</f>
        <v>0</v>
      </c>
      <c r="J21" s="87">
        <f>SUMIFS('0307 4度C'!$AD:$AD,'0307 4度C'!$A:$A,"新豐10線",'0307 4度C'!$B:$B,"平均")</f>
        <v>0</v>
      </c>
      <c r="K21" s="88">
        <f>SUMIFS('0307 4度C'!$AD:$AD,'0307 4度C'!$A:$A,"新豐8線",'0307 4度C'!$B:$B,"平均")</f>
        <v>0</v>
      </c>
      <c r="L21" s="86">
        <f>SUMIFS('0307 4度C'!$AD:$AD,'0307 4度C'!$A:$A,"新豐9線",'0307 4度C'!$B:$B,"平均")</f>
        <v>0</v>
      </c>
      <c r="M21" s="87">
        <f>SUMIFS('0307 4度C'!$AD:$AD,'0307 4度C'!$A:$A,"新豐4線",'0307 4度C'!$B:$B,"平均")</f>
        <v>0</v>
      </c>
    </row>
    <row r="22" spans="2:13" ht="17.25" customHeight="1">
      <c r="B22" s="103" t="s">
        <v>183</v>
      </c>
      <c r="C22" s="104"/>
      <c r="D22" s="89">
        <f>SUMIFS('0307 4度C'!$I:$I,'0307 4度C'!$A:$A,"新豐6線",'0307 4度C'!$B:$B,"平均")</f>
        <v>17.333333333333332</v>
      </c>
      <c r="E22" s="90">
        <f>SUMIFS('0307 4度C'!$I:$I,'0307 4度C'!$A:$A,"新豐2線",'0307 4度C'!$B:$B,"平均")</f>
        <v>18</v>
      </c>
      <c r="F22" s="90">
        <f>SUMIFS('0307 4度C'!$I:$I,'0307 4度C'!$A:$A,"新豐5線",'0307 4度C'!$B:$B,"平均")</f>
        <v>18</v>
      </c>
      <c r="G22" s="90">
        <f>SUMIFS('0307 4度C'!$I:$I,'0307 4度C'!$A:$A,"新豐7線",'0307 4度C'!$B:$B,"平均")</f>
        <v>14.8</v>
      </c>
      <c r="H22" s="90">
        <f>SUMIFS('0307 4度C'!$I:$I,'0307 4度C'!$A:$A,"新豐3線",'0307 4度C'!$B:$B,"平均")</f>
        <v>9.5</v>
      </c>
      <c r="I22" s="90">
        <f>SUMIFS('0307 4度C'!$I:$I,'0307 4度C'!$A:$A,"新豐1線",'0307 4度C'!$B:$B,"平均")</f>
        <v>18.875</v>
      </c>
      <c r="J22" s="91">
        <f>SUMIFS('0307 4度C'!$I:$I,'0307 4度C'!$A:$A,"新豐10線",'0307 4度C'!$B:$B,"平均")</f>
        <v>10</v>
      </c>
      <c r="K22" s="89">
        <f>SUMIFS('0307 4度C'!$I:$I,'0307 4度C'!$A:$A,"新豐8線",'0307 4度C'!$B:$B,"平均")</f>
        <v>17.833333333333332</v>
      </c>
      <c r="L22" s="90">
        <f>SUMIFS('0307 4度C'!$I:$I,'0307 4度C'!$A:$A,"新豐9線",'0307 4度C'!$B:$B,"平均")</f>
        <v>17.166666666666668</v>
      </c>
      <c r="M22" s="91">
        <f>SUMIFS('0307 4度C'!$I:$I,'0307 4度C'!$A:$A,"新豐4線",'0307 4度C'!$B:$B,"平均")</f>
        <v>15.5</v>
      </c>
    </row>
    <row r="23" spans="2:13" ht="17.25" customHeight="1">
      <c r="B23" s="103" t="s">
        <v>740</v>
      </c>
      <c r="C23" s="104"/>
      <c r="D23" s="92" t="s">
        <v>185</v>
      </c>
      <c r="E23" s="93" t="s">
        <v>186</v>
      </c>
      <c r="F23" s="93" t="s">
        <v>741</v>
      </c>
      <c r="G23" s="93" t="s">
        <v>741</v>
      </c>
      <c r="H23" s="93" t="s">
        <v>188</v>
      </c>
      <c r="I23" s="93" t="s">
        <v>185</v>
      </c>
      <c r="J23" s="94" t="s">
        <v>188</v>
      </c>
      <c r="K23" s="92" t="s">
        <v>742</v>
      </c>
      <c r="L23" s="93" t="s">
        <v>742</v>
      </c>
      <c r="M23" s="94" t="s">
        <v>742</v>
      </c>
    </row>
    <row r="24" spans="2:13" ht="17.25" customHeight="1">
      <c r="B24" s="103" t="s">
        <v>743</v>
      </c>
      <c r="C24" s="104"/>
      <c r="D24" s="92"/>
      <c r="E24" s="93"/>
      <c r="F24" s="93" t="s">
        <v>744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745</v>
      </c>
      <c r="C25" s="106"/>
      <c r="D25" s="95"/>
      <c r="E25" s="96" t="s">
        <v>746</v>
      </c>
      <c r="F25" s="99" t="s">
        <v>747</v>
      </c>
      <c r="G25" s="100"/>
      <c r="H25" s="96" t="s">
        <v>748</v>
      </c>
      <c r="I25" s="96" t="s">
        <v>749</v>
      </c>
      <c r="J25" s="97" t="s">
        <v>748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AG66"/>
  <sheetViews>
    <sheetView zoomScale="80" zoomScaleNormal="80" workbookViewId="0">
      <pane ySplit="4" topLeftCell="A5" activePane="bottomLeft" state="frozen"/>
      <selection activeCell="G4" sqref="G4:H4"/>
      <selection pane="bottomLeft" activeCell="G12" sqref="G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SUM(F5:F65)</f>
        <v>140332</v>
      </c>
      <c r="E1" s="4" t="s">
        <v>247</v>
      </c>
      <c r="F1" s="1">
        <f>SUM(G5:G65)</f>
        <v>4703503.47</v>
      </c>
      <c r="G1" s="1" t="s">
        <v>750</v>
      </c>
      <c r="H1" s="5">
        <f>L11+L14+L46+L55+L19+L60+L32+L39+L25+L65</f>
        <v>157.00833333333333</v>
      </c>
      <c r="I1" s="212" t="s">
        <v>751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752</v>
      </c>
      <c r="T1" s="212"/>
      <c r="U1" s="212"/>
      <c r="V1" s="212"/>
      <c r="W1" s="212"/>
      <c r="X1" s="212"/>
      <c r="Y1" s="6" t="s">
        <v>753</v>
      </c>
      <c r="Z1" s="7" t="s">
        <v>754</v>
      </c>
      <c r="AA1" s="213" t="s">
        <v>10</v>
      </c>
      <c r="AB1" s="213"/>
      <c r="AC1" s="42" t="s">
        <v>8</v>
      </c>
      <c r="AD1" s="7" t="s">
        <v>11</v>
      </c>
      <c r="AE1" s="212" t="s">
        <v>755</v>
      </c>
      <c r="AF1" s="214"/>
      <c r="AG1" s="214"/>
    </row>
    <row r="2" spans="1:33" ht="26.25" customHeight="1">
      <c r="A2" s="33">
        <v>46088</v>
      </c>
      <c r="B2" s="34" t="s">
        <v>756</v>
      </c>
      <c r="C2" s="2" t="s">
        <v>728</v>
      </c>
      <c r="D2" s="9">
        <f>AVERAGE(N11,N14,N46,N55,N19,N60,N25,N32,N39,N65)</f>
        <v>145.29147687658525</v>
      </c>
      <c r="E2" s="10" t="s">
        <v>14</v>
      </c>
      <c r="F2" s="11">
        <f>F1/D1</f>
        <v>33.516970256249465</v>
      </c>
      <c r="G2" s="1" t="s">
        <v>259</v>
      </c>
      <c r="H2" s="12">
        <f>COUNT(H5:H65)</f>
        <v>2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SUM(Y11+Y14+Y19+Y25+Y32+Y39+Y46+Y55+Y60+Y65)</f>
        <v>0</v>
      </c>
      <c r="Z2" s="13">
        <f>SUM(Z11+Z14+Z19+Z25+Z32+Z39+Z46+Z55+Z60+Z65)</f>
        <v>0</v>
      </c>
      <c r="AA2" s="213"/>
      <c r="AB2" s="213"/>
      <c r="AC2" s="13">
        <v>51</v>
      </c>
      <c r="AD2" s="13">
        <f>SUM(AD11+AD14+AD19+AD25+AD32+AD39+AD46+AD55+AD60+AD65)</f>
        <v>0</v>
      </c>
      <c r="AE2" s="214"/>
      <c r="AF2" s="214"/>
      <c r="AG2" s="214"/>
    </row>
    <row r="3" spans="1:33" ht="40.5" customHeight="1">
      <c r="A3" s="162" t="s">
        <v>757</v>
      </c>
      <c r="B3" s="162" t="s">
        <v>758</v>
      </c>
      <c r="C3" s="162" t="s">
        <v>759</v>
      </c>
      <c r="D3" s="162"/>
      <c r="E3" s="210" t="s">
        <v>760</v>
      </c>
      <c r="F3" s="162" t="s">
        <v>761</v>
      </c>
      <c r="G3" s="210" t="s">
        <v>762</v>
      </c>
      <c r="H3" s="204" t="s">
        <v>763</v>
      </c>
      <c r="I3" s="202" t="s">
        <v>764</v>
      </c>
      <c r="J3" s="199" t="s">
        <v>765</v>
      </c>
      <c r="K3" s="209" t="s">
        <v>728</v>
      </c>
      <c r="L3" s="202" t="s">
        <v>764</v>
      </c>
      <c r="M3" s="199" t="s">
        <v>765</v>
      </c>
      <c r="N3" s="209" t="s">
        <v>728</v>
      </c>
      <c r="O3" s="202" t="s">
        <v>764</v>
      </c>
      <c r="P3" s="209" t="s">
        <v>728</v>
      </c>
      <c r="Q3" s="200" t="s">
        <v>766</v>
      </c>
      <c r="R3" s="178" t="s">
        <v>767</v>
      </c>
      <c r="S3" s="162" t="s">
        <v>27</v>
      </c>
      <c r="T3" s="162"/>
      <c r="U3" s="204" t="s">
        <v>28</v>
      </c>
      <c r="V3" s="204" t="s">
        <v>29</v>
      </c>
      <c r="W3" s="162" t="s">
        <v>768</v>
      </c>
      <c r="X3" s="162"/>
      <c r="Y3" s="205" t="s">
        <v>769</v>
      </c>
      <c r="Z3" s="166"/>
      <c r="AA3" s="206" t="s">
        <v>770</v>
      </c>
      <c r="AB3" s="207"/>
      <c r="AC3" s="205" t="s">
        <v>275</v>
      </c>
      <c r="AD3" s="166"/>
      <c r="AE3" s="199" t="s">
        <v>765</v>
      </c>
      <c r="AF3" s="200" t="s">
        <v>771</v>
      </c>
      <c r="AG3" s="178" t="s">
        <v>26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772</v>
      </c>
      <c r="X4" s="4" t="s">
        <v>277</v>
      </c>
      <c r="Y4" s="14" t="s">
        <v>736</v>
      </c>
      <c r="Z4" s="14" t="s">
        <v>737</v>
      </c>
      <c r="AA4" s="208"/>
      <c r="AB4" s="207"/>
      <c r="AC4" s="14" t="s">
        <v>43</v>
      </c>
      <c r="AD4" s="14" t="s">
        <v>44</v>
      </c>
      <c r="AE4" s="199"/>
      <c r="AF4" s="200"/>
      <c r="AG4" s="178"/>
    </row>
    <row r="5" spans="1:33">
      <c r="A5" s="201" t="s">
        <v>773</v>
      </c>
      <c r="B5" s="35" t="s">
        <v>78</v>
      </c>
      <c r="C5" s="203" t="s">
        <v>79</v>
      </c>
      <c r="D5" s="203"/>
      <c r="E5" s="35">
        <v>50.67</v>
      </c>
      <c r="F5" s="4">
        <v>1392</v>
      </c>
      <c r="G5" s="4">
        <f t="shared" ref="G5:G10" si="0">E5*F5</f>
        <v>70532.639999999999</v>
      </c>
      <c r="H5" s="21" t="s">
        <v>133</v>
      </c>
      <c r="I5" s="15">
        <v>17</v>
      </c>
      <c r="J5" s="17">
        <v>2000</v>
      </c>
      <c r="K5" s="16">
        <f t="shared" ref="K5:K65" si="1">J5/I5</f>
        <v>117.64705882352941</v>
      </c>
      <c r="L5" s="15">
        <v>17</v>
      </c>
      <c r="M5" s="17">
        <f t="shared" ref="M5:M10" si="2">F5/V5*60</f>
        <v>1942.3255813953485</v>
      </c>
      <c r="N5" s="16">
        <f t="shared" ref="N5:N65" si="3">M5/L5</f>
        <v>114.25444596443226</v>
      </c>
      <c r="O5" s="18">
        <f t="shared" ref="O5:O65" si="4">L5-I5</f>
        <v>0</v>
      </c>
      <c r="P5" s="19">
        <f t="shared" ref="P5:P65" si="5">N5-K5</f>
        <v>-3.3926128590971416</v>
      </c>
      <c r="Q5" s="20">
        <f t="shared" ref="Q5:Q65" si="6">N5/K5</f>
        <v>0.97116279069767431</v>
      </c>
      <c r="R5" s="170">
        <f>Q11</f>
        <v>0.96123004826217917</v>
      </c>
      <c r="S5" s="27">
        <v>0.70833333333333337</v>
      </c>
      <c r="T5" s="27">
        <v>0.73819444444444449</v>
      </c>
      <c r="U5" s="4"/>
      <c r="V5" s="21">
        <f t="shared" ref="V5:V10" si="7">(T5-S5)*24*60</f>
        <v>43.000000000000007</v>
      </c>
      <c r="W5" s="22"/>
      <c r="X5" s="23"/>
      <c r="Y5" s="23"/>
      <c r="Z5" s="23"/>
      <c r="AA5" s="162"/>
      <c r="AB5" s="162"/>
      <c r="AC5" s="24">
        <v>6</v>
      </c>
      <c r="AD5" s="24"/>
      <c r="AE5" s="18">
        <f t="shared" ref="AE5:AE54" si="8">M5-J5</f>
        <v>-57.674418604651464</v>
      </c>
      <c r="AF5" s="20">
        <f t="shared" ref="AF5:AF65" si="9">M5/J5</f>
        <v>0.97116279069767431</v>
      </c>
      <c r="AG5" s="170">
        <f>AF11</f>
        <v>0.96123004826217917</v>
      </c>
    </row>
    <row r="6" spans="1:33">
      <c r="A6" s="202" t="s">
        <v>45</v>
      </c>
      <c r="B6" s="35" t="s">
        <v>78</v>
      </c>
      <c r="C6" s="203" t="s">
        <v>80</v>
      </c>
      <c r="D6" s="203"/>
      <c r="E6" s="35">
        <v>54.09</v>
      </c>
      <c r="F6" s="4">
        <v>1205</v>
      </c>
      <c r="G6" s="4">
        <f t="shared" si="0"/>
        <v>65178.450000000004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1902.631578947367</v>
      </c>
      <c r="N6" s="16">
        <f t="shared" si="3"/>
        <v>100.13850415512458</v>
      </c>
      <c r="O6" s="18">
        <f t="shared" si="4"/>
        <v>0</v>
      </c>
      <c r="P6" s="19">
        <f t="shared" si="5"/>
        <v>-5.1246537396122562</v>
      </c>
      <c r="Q6" s="20">
        <f t="shared" si="6"/>
        <v>0.95131578947368356</v>
      </c>
      <c r="R6" s="170"/>
      <c r="S6" s="27">
        <v>0.7416666666666667</v>
      </c>
      <c r="T6" s="27">
        <v>0.7680555555555556</v>
      </c>
      <c r="U6" s="4">
        <f t="shared" ref="U6:U10" si="10">IF(S6=TIME(17,0,0),"",(S6-T5)*24*60)</f>
        <v>4.9999999999999822</v>
      </c>
      <c r="V6" s="21">
        <f t="shared" si="7"/>
        <v>38.000000000000028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-97.368421052633039</v>
      </c>
      <c r="AF6" s="20">
        <f t="shared" si="9"/>
        <v>0.95131578947368345</v>
      </c>
      <c r="AG6" s="170"/>
    </row>
    <row r="7" spans="1:33">
      <c r="A7" s="202" t="s">
        <v>774</v>
      </c>
      <c r="B7" s="35" t="s">
        <v>78</v>
      </c>
      <c r="C7" s="197" t="s">
        <v>81</v>
      </c>
      <c r="D7" s="198"/>
      <c r="E7" s="35">
        <v>50.29</v>
      </c>
      <c r="F7" s="4">
        <v>409</v>
      </c>
      <c r="G7" s="4">
        <f t="shared" si="0"/>
        <v>20568.61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1887.6923076923144</v>
      </c>
      <c r="N7" s="16">
        <f t="shared" si="3"/>
        <v>117.98076923076965</v>
      </c>
      <c r="O7" s="18">
        <f t="shared" si="4"/>
        <v>0</v>
      </c>
      <c r="P7" s="19">
        <f t="shared" si="5"/>
        <v>-7.0192307692303473</v>
      </c>
      <c r="Q7" s="20">
        <f t="shared" si="6"/>
        <v>0.94384615384615722</v>
      </c>
      <c r="R7" s="170"/>
      <c r="S7" s="27">
        <v>0.77152777777777781</v>
      </c>
      <c r="T7" s="27">
        <v>0.78055555555555556</v>
      </c>
      <c r="U7" s="4">
        <f t="shared" si="10"/>
        <v>4.9999999999999822</v>
      </c>
      <c r="V7" s="21">
        <f t="shared" si="7"/>
        <v>12.999999999999954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-112.30769230768556</v>
      </c>
      <c r="AF7" s="20">
        <f t="shared" si="9"/>
        <v>0.94384615384615722</v>
      </c>
      <c r="AG7" s="170"/>
    </row>
    <row r="8" spans="1:33">
      <c r="A8" s="202" t="s">
        <v>45</v>
      </c>
      <c r="B8" s="35" t="s">
        <v>78</v>
      </c>
      <c r="C8" s="197" t="s">
        <v>82</v>
      </c>
      <c r="D8" s="198"/>
      <c r="E8" s="35">
        <v>50.67</v>
      </c>
      <c r="F8" s="4">
        <v>381</v>
      </c>
      <c r="G8" s="4">
        <f t="shared" si="0"/>
        <v>19305.27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1905.0000000000068</v>
      </c>
      <c r="N8" s="16">
        <f t="shared" si="3"/>
        <v>90.714285714286035</v>
      </c>
      <c r="O8" s="18">
        <f t="shared" si="4"/>
        <v>0</v>
      </c>
      <c r="P8" s="19">
        <f t="shared" si="5"/>
        <v>-4.5238095238092058</v>
      </c>
      <c r="Q8" s="20">
        <f t="shared" si="6"/>
        <v>0.95250000000000334</v>
      </c>
      <c r="R8" s="170"/>
      <c r="S8" s="27">
        <v>0.78541666666666665</v>
      </c>
      <c r="T8" s="27">
        <v>0.79374999999999996</v>
      </c>
      <c r="U8" s="4">
        <f t="shared" si="10"/>
        <v>6.9999999999999751</v>
      </c>
      <c r="V8" s="21">
        <f t="shared" si="7"/>
        <v>11.999999999999957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-94.999999999993179</v>
      </c>
      <c r="AF8" s="20">
        <f t="shared" si="9"/>
        <v>0.95250000000000346</v>
      </c>
      <c r="AG8" s="170"/>
    </row>
    <row r="9" spans="1:33">
      <c r="A9" s="202" t="s">
        <v>45</v>
      </c>
      <c r="B9" s="35" t="s">
        <v>78</v>
      </c>
      <c r="C9" s="197" t="s">
        <v>83</v>
      </c>
      <c r="D9" s="198"/>
      <c r="E9" s="35">
        <v>50.67</v>
      </c>
      <c r="F9" s="4">
        <v>662</v>
      </c>
      <c r="G9" s="4">
        <f t="shared" si="0"/>
        <v>33543.54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1986.0000000000068</v>
      </c>
      <c r="N9" s="16">
        <f t="shared" si="3"/>
        <v>124.12500000000043</v>
      </c>
      <c r="O9" s="18">
        <f t="shared" si="4"/>
        <v>0</v>
      </c>
      <c r="P9" s="19">
        <f t="shared" si="5"/>
        <v>-0.87499999999957367</v>
      </c>
      <c r="Q9" s="20">
        <f t="shared" si="6"/>
        <v>0.99300000000000344</v>
      </c>
      <c r="R9" s="170"/>
      <c r="S9" s="27">
        <v>0.79861111111111105</v>
      </c>
      <c r="T9" s="27">
        <v>0.81249999999999989</v>
      </c>
      <c r="U9" s="4">
        <f t="shared" si="10"/>
        <v>6.9999999999999751</v>
      </c>
      <c r="V9" s="21">
        <f t="shared" si="7"/>
        <v>19.999999999999929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-13.999999999993179</v>
      </c>
      <c r="AF9" s="20">
        <f t="shared" si="9"/>
        <v>0.99300000000000344</v>
      </c>
      <c r="AG9" s="170"/>
    </row>
    <row r="10" spans="1:33">
      <c r="A10" s="202" t="s">
        <v>45</v>
      </c>
      <c r="B10" s="35" t="s">
        <v>78</v>
      </c>
      <c r="C10" s="197" t="s">
        <v>91</v>
      </c>
      <c r="D10" s="198"/>
      <c r="E10" s="35">
        <v>50.67</v>
      </c>
      <c r="F10" s="4">
        <v>860</v>
      </c>
      <c r="G10" s="4">
        <f t="shared" si="0"/>
        <v>43576.200000000004</v>
      </c>
      <c r="H10" s="21" t="s">
        <v>133</v>
      </c>
      <c r="I10" s="15">
        <v>15</v>
      </c>
      <c r="J10" s="17">
        <v>2000</v>
      </c>
      <c r="K10" s="16">
        <f t="shared" si="1"/>
        <v>133.33333333333334</v>
      </c>
      <c r="L10" s="15">
        <v>15</v>
      </c>
      <c r="M10" s="17">
        <f t="shared" si="2"/>
        <v>1911.1111111111065</v>
      </c>
      <c r="N10" s="16">
        <f t="shared" si="3"/>
        <v>127.40740740740711</v>
      </c>
      <c r="O10" s="18">
        <f t="shared" si="4"/>
        <v>0</v>
      </c>
      <c r="P10" s="19">
        <f t="shared" si="5"/>
        <v>-5.9259259259262365</v>
      </c>
      <c r="Q10" s="20">
        <f t="shared" si="6"/>
        <v>0.95555555555555327</v>
      </c>
      <c r="R10" s="170"/>
      <c r="S10" s="27">
        <v>0.8159722222222221</v>
      </c>
      <c r="T10" s="27">
        <v>0.83472222222222214</v>
      </c>
      <c r="U10" s="4">
        <f t="shared" si="10"/>
        <v>4.9999999999999822</v>
      </c>
      <c r="V10" s="21">
        <f t="shared" si="7"/>
        <v>27.000000000000064</v>
      </c>
      <c r="W10" s="22"/>
      <c r="X10" s="22"/>
      <c r="Y10" s="25"/>
      <c r="Z10" s="25"/>
      <c r="AA10" s="176"/>
      <c r="AB10" s="177"/>
      <c r="AC10" s="24"/>
      <c r="AD10" s="26"/>
      <c r="AE10" s="18">
        <f t="shared" si="8"/>
        <v>-88.888888888893462</v>
      </c>
      <c r="AF10" s="20">
        <f t="shared" si="9"/>
        <v>0.95555555555555327</v>
      </c>
      <c r="AG10" s="170"/>
    </row>
    <row r="11" spans="1:33">
      <c r="A11" s="202" t="s">
        <v>773</v>
      </c>
      <c r="B11" s="35" t="s">
        <v>775</v>
      </c>
      <c r="C11" s="171"/>
      <c r="D11" s="171"/>
      <c r="E11" s="36"/>
      <c r="F11" s="16"/>
      <c r="G11" s="16"/>
      <c r="H11" s="4"/>
      <c r="I11" s="29">
        <v>17.333333333333332</v>
      </c>
      <c r="J11" s="17">
        <v>2000</v>
      </c>
      <c r="K11" s="16">
        <f t="shared" si="1"/>
        <v>115.38461538461539</v>
      </c>
      <c r="L11" s="29">
        <v>17.333333333333332</v>
      </c>
      <c r="M11" s="17">
        <f>AVERAGE(M5:M10)</f>
        <v>1922.4600965243583</v>
      </c>
      <c r="N11" s="16">
        <f t="shared" si="3"/>
        <v>110.91115941486683</v>
      </c>
      <c r="O11" s="18">
        <f t="shared" si="4"/>
        <v>0</v>
      </c>
      <c r="P11" s="19">
        <f t="shared" si="5"/>
        <v>-4.4734559697485565</v>
      </c>
      <c r="Q11" s="20">
        <f t="shared" si="6"/>
        <v>0.96123004826217917</v>
      </c>
      <c r="R11" s="170"/>
      <c r="S11" s="27"/>
      <c r="T11" s="27"/>
      <c r="U11" s="4"/>
      <c r="V11" s="21"/>
      <c r="W11" s="16"/>
      <c r="X11" s="16"/>
      <c r="Y11" s="30">
        <f>SUM(Y5:Y10)</f>
        <v>0</v>
      </c>
      <c r="Z11" s="30">
        <f>SUM(Z5:Z10)</f>
        <v>0</v>
      </c>
      <c r="AA11" s="166"/>
      <c r="AB11" s="166"/>
      <c r="AC11" s="30">
        <v>6</v>
      </c>
      <c r="AD11" s="30">
        <f>SUM(AD5:AD10)</f>
        <v>0</v>
      </c>
      <c r="AE11" s="18">
        <f t="shared" si="8"/>
        <v>-77.539903475641722</v>
      </c>
      <c r="AF11" s="20">
        <f t="shared" si="9"/>
        <v>0.96123004826217917</v>
      </c>
      <c r="AG11" s="170"/>
    </row>
    <row r="12" spans="1:33" ht="15.75" customHeight="1">
      <c r="A12" s="196" t="s">
        <v>283</v>
      </c>
      <c r="B12" s="35" t="s">
        <v>84</v>
      </c>
      <c r="C12" s="197" t="s">
        <v>85</v>
      </c>
      <c r="D12" s="198"/>
      <c r="E12" s="35">
        <v>39.619999999999997</v>
      </c>
      <c r="F12" s="4">
        <v>3172</v>
      </c>
      <c r="G12" s="4">
        <f t="shared" ref="G12:G13" si="11">E12*F12</f>
        <v>125674.63999999998</v>
      </c>
      <c r="H12" s="21" t="s">
        <v>133</v>
      </c>
      <c r="I12" s="15">
        <v>19</v>
      </c>
      <c r="J12" s="17">
        <v>1500</v>
      </c>
      <c r="K12" s="16">
        <f t="shared" si="1"/>
        <v>78.94736842105263</v>
      </c>
      <c r="L12" s="15">
        <v>19</v>
      </c>
      <c r="M12" s="17">
        <f t="shared" ref="M12:M13" si="12">F12/V12*60</f>
        <v>1430.977443609022</v>
      </c>
      <c r="N12" s="16">
        <f t="shared" si="3"/>
        <v>75.314602295211685</v>
      </c>
      <c r="O12" s="18">
        <f t="shared" si="4"/>
        <v>0</v>
      </c>
      <c r="P12" s="19">
        <f t="shared" si="5"/>
        <v>-3.6327661258409449</v>
      </c>
      <c r="Q12" s="20">
        <f t="shared" si="6"/>
        <v>0.95398496240601471</v>
      </c>
      <c r="R12" s="170">
        <f>Q14</f>
        <v>0.95352713466835404</v>
      </c>
      <c r="S12" s="27">
        <v>0.20833333333333334</v>
      </c>
      <c r="T12" s="27">
        <v>0.30069444444444449</v>
      </c>
      <c r="U12" s="4"/>
      <c r="V12" s="21">
        <f t="shared" ref="V12:V13" si="13">(T12-S12)*24*60</f>
        <v>133.00000000000006</v>
      </c>
      <c r="W12" s="22"/>
      <c r="X12" s="22"/>
      <c r="Y12" s="22"/>
      <c r="Z12" s="22"/>
      <c r="AA12" s="162"/>
      <c r="AB12" s="162"/>
      <c r="AC12" s="24">
        <v>2</v>
      </c>
      <c r="AD12" s="24"/>
      <c r="AE12" s="18">
        <f t="shared" si="8"/>
        <v>-69.022556390978025</v>
      </c>
      <c r="AF12" s="20">
        <f t="shared" si="9"/>
        <v>0.9539849624060146</v>
      </c>
      <c r="AG12" s="170">
        <f>AF14</f>
        <v>0.95352713466835393</v>
      </c>
    </row>
    <row r="13" spans="1:33" ht="15.75" customHeight="1">
      <c r="A13" s="196" t="s">
        <v>776</v>
      </c>
      <c r="B13" s="35" t="s">
        <v>84</v>
      </c>
      <c r="C13" s="197" t="s">
        <v>86</v>
      </c>
      <c r="D13" s="198"/>
      <c r="E13" s="35">
        <v>39.799999999999997</v>
      </c>
      <c r="F13" s="4">
        <v>4813</v>
      </c>
      <c r="G13" s="4">
        <f t="shared" si="11"/>
        <v>191557.4</v>
      </c>
      <c r="H13" s="21" t="s">
        <v>133</v>
      </c>
      <c r="I13" s="15">
        <v>17</v>
      </c>
      <c r="J13" s="17">
        <v>1500</v>
      </c>
      <c r="K13" s="16">
        <f t="shared" si="1"/>
        <v>88.235294117647058</v>
      </c>
      <c r="L13" s="15">
        <v>17</v>
      </c>
      <c r="M13" s="17">
        <f t="shared" si="12"/>
        <v>1429.6039603960396</v>
      </c>
      <c r="N13" s="16">
        <f t="shared" si="3"/>
        <v>84.094350611531738</v>
      </c>
      <c r="O13" s="18">
        <f t="shared" si="4"/>
        <v>0</v>
      </c>
      <c r="P13" s="19">
        <f t="shared" si="5"/>
        <v>-4.1409435061153204</v>
      </c>
      <c r="Q13" s="20">
        <f t="shared" si="6"/>
        <v>0.95306930693069303</v>
      </c>
      <c r="R13" s="170"/>
      <c r="S13" s="27">
        <v>0.30625000000000002</v>
      </c>
      <c r="T13" s="27">
        <v>0.4465277777777778</v>
      </c>
      <c r="U13" s="4">
        <f t="shared" ref="U13" si="14">IF(S13=TIME(17,0,0),"",(S13-T12)*24*60)</f>
        <v>7.9999999999999716</v>
      </c>
      <c r="V13" s="21">
        <f t="shared" si="13"/>
        <v>202</v>
      </c>
      <c r="W13" s="22"/>
      <c r="X13" s="22"/>
      <c r="Y13" s="22"/>
      <c r="Z13" s="22"/>
      <c r="AA13" s="162"/>
      <c r="AB13" s="162"/>
      <c r="AC13" s="24"/>
      <c r="AD13" s="24"/>
      <c r="AE13" s="18">
        <f t="shared" si="8"/>
        <v>-70.396039603960389</v>
      </c>
      <c r="AF13" s="20">
        <f t="shared" si="9"/>
        <v>0.95306930693069303</v>
      </c>
      <c r="AG13" s="170"/>
    </row>
    <row r="14" spans="1:33" ht="16.5" customHeight="1">
      <c r="A14" s="196" t="s">
        <v>777</v>
      </c>
      <c r="B14" s="35" t="s">
        <v>48</v>
      </c>
      <c r="C14" s="171"/>
      <c r="D14" s="171"/>
      <c r="E14" s="36"/>
      <c r="F14" s="17"/>
      <c r="G14" s="17"/>
      <c r="H14" s="4"/>
      <c r="I14" s="29">
        <v>18</v>
      </c>
      <c r="J14" s="17">
        <v>1500</v>
      </c>
      <c r="K14" s="16">
        <f t="shared" si="1"/>
        <v>83.333333333333329</v>
      </c>
      <c r="L14" s="29">
        <v>18</v>
      </c>
      <c r="M14" s="17">
        <f>AVERAGE(M12:M13)</f>
        <v>1430.2907020025309</v>
      </c>
      <c r="N14" s="16">
        <f t="shared" si="3"/>
        <v>79.460594555696161</v>
      </c>
      <c r="O14" s="18">
        <f t="shared" si="4"/>
        <v>0</v>
      </c>
      <c r="P14" s="19">
        <f t="shared" si="5"/>
        <v>-3.8727387776371671</v>
      </c>
      <c r="Q14" s="20">
        <f t="shared" si="6"/>
        <v>0.95352713466835404</v>
      </c>
      <c r="R14" s="170"/>
      <c r="S14" s="27"/>
      <c r="T14" s="27"/>
      <c r="U14" s="16"/>
      <c r="V14" s="21"/>
      <c r="W14" s="16"/>
      <c r="X14" s="16"/>
      <c r="Y14" s="30">
        <f>SUM(Y12:Y13)</f>
        <v>0</v>
      </c>
      <c r="Z14" s="30">
        <f>SUM(Z12:Z13)</f>
        <v>0</v>
      </c>
      <c r="AA14" s="166"/>
      <c r="AB14" s="166"/>
      <c r="AC14" s="30">
        <v>2</v>
      </c>
      <c r="AD14" s="30">
        <f>SUM(AD12:AD13)</f>
        <v>0</v>
      </c>
      <c r="AE14" s="18">
        <f t="shared" si="8"/>
        <v>-69.709297997469093</v>
      </c>
      <c r="AF14" s="20">
        <f t="shared" si="9"/>
        <v>0.95352713466835393</v>
      </c>
      <c r="AG14" s="170"/>
    </row>
    <row r="15" spans="1:33" ht="16.5" customHeight="1">
      <c r="A15" s="194" t="s">
        <v>50</v>
      </c>
      <c r="B15" s="4" t="s">
        <v>87</v>
      </c>
      <c r="C15" s="190" t="s">
        <v>88</v>
      </c>
      <c r="D15" s="190"/>
      <c r="E15" s="35">
        <v>41</v>
      </c>
      <c r="F15" s="4">
        <v>2778</v>
      </c>
      <c r="G15" s="4">
        <f t="shared" ref="G15:G18" si="15">E15*F15</f>
        <v>113898</v>
      </c>
      <c r="H15" s="21" t="s">
        <v>133</v>
      </c>
      <c r="I15" s="15">
        <v>26</v>
      </c>
      <c r="J15" s="17">
        <v>1500</v>
      </c>
      <c r="K15" s="16">
        <f t="shared" si="1"/>
        <v>57.692307692307693</v>
      </c>
      <c r="L15" s="15">
        <v>26</v>
      </c>
      <c r="M15" s="17">
        <f t="shared" ref="M15:M18" si="16">F15/V15*60</f>
        <v>1436.8965517241377</v>
      </c>
      <c r="N15" s="16">
        <f t="shared" si="3"/>
        <v>55.26525198938991</v>
      </c>
      <c r="O15" s="18">
        <f t="shared" si="4"/>
        <v>0</v>
      </c>
      <c r="P15" s="19">
        <f t="shared" si="5"/>
        <v>-2.4270557029177837</v>
      </c>
      <c r="Q15" s="20">
        <f t="shared" si="6"/>
        <v>0.9579310344827584</v>
      </c>
      <c r="R15" s="170">
        <f>Q19</f>
        <v>0.95827338638372994</v>
      </c>
      <c r="S15" s="27">
        <v>0.20833333333333334</v>
      </c>
      <c r="T15" s="27">
        <v>0.28888888888888892</v>
      </c>
      <c r="U15" s="4"/>
      <c r="V15" s="21">
        <f t="shared" ref="V15:V18" si="17">(T15-S15)*24*60</f>
        <v>116.00000000000003</v>
      </c>
      <c r="W15" s="27"/>
      <c r="X15" s="27"/>
      <c r="Y15" s="27"/>
      <c r="Z15" s="27"/>
      <c r="AA15" s="162"/>
      <c r="AB15" s="162"/>
      <c r="AC15" s="24">
        <v>4</v>
      </c>
      <c r="AD15" s="24"/>
      <c r="AE15" s="18">
        <f t="shared" si="8"/>
        <v>-63.10344827586232</v>
      </c>
      <c r="AF15" s="20">
        <f t="shared" si="9"/>
        <v>0.9579310344827584</v>
      </c>
      <c r="AG15" s="170">
        <f>AF19</f>
        <v>0.95827338638373005</v>
      </c>
    </row>
    <row r="16" spans="1:33" ht="16.5" customHeight="1">
      <c r="A16" s="195" t="s">
        <v>778</v>
      </c>
      <c r="B16" s="4" t="s">
        <v>78</v>
      </c>
      <c r="C16" s="190" t="s">
        <v>89</v>
      </c>
      <c r="D16" s="190"/>
      <c r="E16" s="35">
        <v>50.98</v>
      </c>
      <c r="F16" s="4">
        <v>2478</v>
      </c>
      <c r="G16" s="4">
        <f t="shared" si="15"/>
        <v>126328.43999999999</v>
      </c>
      <c r="H16" s="21" t="s">
        <v>133</v>
      </c>
      <c r="I16" s="15">
        <v>16</v>
      </c>
      <c r="J16" s="17">
        <v>2000</v>
      </c>
      <c r="K16" s="16">
        <f t="shared" si="1"/>
        <v>125</v>
      </c>
      <c r="L16" s="15">
        <v>16</v>
      </c>
      <c r="M16" s="17">
        <f t="shared" si="16"/>
        <v>1906.1538461538451</v>
      </c>
      <c r="N16" s="16">
        <f t="shared" si="3"/>
        <v>119.13461538461532</v>
      </c>
      <c r="O16" s="18">
        <f t="shared" si="4"/>
        <v>0</v>
      </c>
      <c r="P16" s="19">
        <f t="shared" si="5"/>
        <v>-5.8653846153846843</v>
      </c>
      <c r="Q16" s="20">
        <f t="shared" si="6"/>
        <v>0.95307692307692249</v>
      </c>
      <c r="R16" s="170"/>
      <c r="S16" s="27">
        <v>0.70833333333333337</v>
      </c>
      <c r="T16" s="27">
        <v>0.76250000000000007</v>
      </c>
      <c r="U16" s="4" t="str">
        <f t="shared" ref="U16:U18" si="18">IF(S16=TIME(17,0,0),"",(S16-T15)*24*60)</f>
        <v/>
      </c>
      <c r="V16" s="21">
        <f t="shared" si="17"/>
        <v>78.000000000000043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-93.846153846154948</v>
      </c>
      <c r="AF16" s="20">
        <f t="shared" si="9"/>
        <v>0.95307692307692249</v>
      </c>
      <c r="AG16" s="170"/>
    </row>
    <row r="17" spans="1:33" ht="16.5" customHeight="1">
      <c r="A17" s="195" t="s">
        <v>50</v>
      </c>
      <c r="B17" s="4" t="s">
        <v>78</v>
      </c>
      <c r="C17" s="190" t="s">
        <v>90</v>
      </c>
      <c r="D17" s="190"/>
      <c r="E17" s="35">
        <v>50.92</v>
      </c>
      <c r="F17" s="4">
        <v>2405</v>
      </c>
      <c r="G17" s="4">
        <f t="shared" si="15"/>
        <v>122462.6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1923.9999999999984</v>
      </c>
      <c r="N17" s="16">
        <f t="shared" si="3"/>
        <v>128.26666666666657</v>
      </c>
      <c r="O17" s="18">
        <f t="shared" si="4"/>
        <v>0</v>
      </c>
      <c r="P17" s="19">
        <f t="shared" si="5"/>
        <v>-5.0666666666667766</v>
      </c>
      <c r="Q17" s="20">
        <f t="shared" si="6"/>
        <v>0.96199999999999919</v>
      </c>
      <c r="R17" s="170"/>
      <c r="S17" s="27">
        <v>0.76597222222222228</v>
      </c>
      <c r="T17" s="27">
        <v>0.81805555555555565</v>
      </c>
      <c r="U17" s="4">
        <f t="shared" si="18"/>
        <v>4.9999999999999822</v>
      </c>
      <c r="V17" s="21">
        <f t="shared" si="17"/>
        <v>75.000000000000057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-76.000000000001592</v>
      </c>
      <c r="AF17" s="20">
        <f t="shared" si="9"/>
        <v>0.96199999999999919</v>
      </c>
      <c r="AG17" s="170"/>
    </row>
    <row r="18" spans="1:33" ht="16.5" customHeight="1">
      <c r="A18" s="195" t="s">
        <v>50</v>
      </c>
      <c r="B18" s="4" t="s">
        <v>78</v>
      </c>
      <c r="C18" s="190" t="s">
        <v>91</v>
      </c>
      <c r="D18" s="190"/>
      <c r="E18" s="35">
        <v>50.67</v>
      </c>
      <c r="F18" s="4">
        <v>800</v>
      </c>
      <c r="G18" s="4">
        <f t="shared" si="15"/>
        <v>40536</v>
      </c>
      <c r="H18" s="21">
        <v>2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1919.9999999999945</v>
      </c>
      <c r="N18" s="16">
        <f t="shared" si="3"/>
        <v>127.99999999999963</v>
      </c>
      <c r="O18" s="18">
        <f t="shared" si="4"/>
        <v>0</v>
      </c>
      <c r="P18" s="19">
        <f t="shared" si="5"/>
        <v>-5.3333333333337123</v>
      </c>
      <c r="Q18" s="20">
        <f t="shared" si="6"/>
        <v>0.95999999999999719</v>
      </c>
      <c r="R18" s="170"/>
      <c r="S18" s="27">
        <v>0.82361111111111118</v>
      </c>
      <c r="T18" s="27">
        <v>0.84097222222222234</v>
      </c>
      <c r="U18" s="4">
        <f t="shared" si="18"/>
        <v>7.9999999999999716</v>
      </c>
      <c r="V18" s="21">
        <f t="shared" si="17"/>
        <v>25.000000000000071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-80.000000000005457</v>
      </c>
      <c r="AF18" s="20">
        <f t="shared" si="9"/>
        <v>0.9599999999999973</v>
      </c>
      <c r="AG18" s="170"/>
    </row>
    <row r="19" spans="1:33" ht="16.5" customHeight="1">
      <c r="A19" s="195" t="s">
        <v>778</v>
      </c>
      <c r="B19" s="35" t="s">
        <v>775</v>
      </c>
      <c r="C19" s="171"/>
      <c r="D19" s="171"/>
      <c r="E19" s="36"/>
      <c r="F19" s="16"/>
      <c r="G19" s="16"/>
      <c r="H19" s="4"/>
      <c r="I19" s="29">
        <v>18</v>
      </c>
      <c r="J19" s="17">
        <v>1875</v>
      </c>
      <c r="K19" s="16">
        <f t="shared" si="1"/>
        <v>104.16666666666667</v>
      </c>
      <c r="L19" s="29">
        <v>18</v>
      </c>
      <c r="M19" s="17">
        <f>AVERAGE(M15:M18)</f>
        <v>1796.7625994694938</v>
      </c>
      <c r="N19" s="16">
        <f t="shared" si="3"/>
        <v>99.820144414971878</v>
      </c>
      <c r="O19" s="18">
        <f t="shared" si="4"/>
        <v>0</v>
      </c>
      <c r="P19" s="19">
        <f t="shared" si="5"/>
        <v>-4.3465222516947932</v>
      </c>
      <c r="Q19" s="20">
        <f t="shared" si="6"/>
        <v>0.95827338638372994</v>
      </c>
      <c r="R19" s="170"/>
      <c r="S19" s="27"/>
      <c r="T19" s="27"/>
      <c r="U19" s="4"/>
      <c r="V19" s="21"/>
      <c r="W19" s="16"/>
      <c r="X19" s="16"/>
      <c r="Y19" s="30">
        <f>SUM(Y15:Y18)</f>
        <v>0</v>
      </c>
      <c r="Z19" s="30">
        <f>SUM(Z15:Z18)</f>
        <v>0</v>
      </c>
      <c r="AA19" s="166"/>
      <c r="AB19" s="166"/>
      <c r="AC19" s="30">
        <v>4</v>
      </c>
      <c r="AD19" s="30">
        <f>SUM(AD15:AD18)</f>
        <v>0</v>
      </c>
      <c r="AE19" s="18">
        <f t="shared" si="8"/>
        <v>-78.237400530506193</v>
      </c>
      <c r="AF19" s="20">
        <f t="shared" si="9"/>
        <v>0.95827338638373005</v>
      </c>
      <c r="AG19" s="170"/>
    </row>
    <row r="20" spans="1:33" ht="15.75" customHeight="1">
      <c r="A20" s="192" t="s">
        <v>52</v>
      </c>
      <c r="B20" s="35" t="s">
        <v>78</v>
      </c>
      <c r="C20" s="190" t="s">
        <v>92</v>
      </c>
      <c r="D20" s="190"/>
      <c r="E20" s="35">
        <v>57.73</v>
      </c>
      <c r="F20" s="4">
        <v>2413</v>
      </c>
      <c r="G20" s="4">
        <f t="shared" ref="G20:G24" si="19">E20*F20</f>
        <v>139302.49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4" si="20">F20/V20*60</f>
        <v>1904.9999999999995</v>
      </c>
      <c r="N20" s="16">
        <f t="shared" si="3"/>
        <v>136.07142857142853</v>
      </c>
      <c r="O20" s="18">
        <f t="shared" si="4"/>
        <v>0</v>
      </c>
      <c r="P20" s="19">
        <f t="shared" si="5"/>
        <v>-6.7857142857143344</v>
      </c>
      <c r="Q20" s="20">
        <f t="shared" si="6"/>
        <v>0.95249999999999968</v>
      </c>
      <c r="R20" s="170">
        <f>Q25</f>
        <v>0.96083986910467334</v>
      </c>
      <c r="S20" s="27">
        <v>0.20833333333333334</v>
      </c>
      <c r="T20" s="27">
        <v>0.26111111111111113</v>
      </c>
      <c r="U20" s="4"/>
      <c r="V20" s="21">
        <f t="shared" ref="V20:V24" si="21">(T20-S20)*24*60</f>
        <v>76.000000000000014</v>
      </c>
      <c r="W20" s="27"/>
      <c r="X20" s="27"/>
      <c r="Y20" s="27"/>
      <c r="Z20" s="27"/>
      <c r="AA20" s="162"/>
      <c r="AB20" s="162"/>
      <c r="AC20" s="24">
        <v>5</v>
      </c>
      <c r="AD20" s="24"/>
      <c r="AE20" s="18">
        <f t="shared" si="8"/>
        <v>-95.000000000000455</v>
      </c>
      <c r="AF20" s="20">
        <f t="shared" si="9"/>
        <v>0.95249999999999979</v>
      </c>
      <c r="AG20" s="170">
        <f>AF25</f>
        <v>0.96083986910467345</v>
      </c>
    </row>
    <row r="21" spans="1:33" ht="15.75" customHeight="1">
      <c r="A21" s="193" t="s">
        <v>52</v>
      </c>
      <c r="B21" s="35" t="s">
        <v>78</v>
      </c>
      <c r="C21" s="190" t="s">
        <v>93</v>
      </c>
      <c r="D21" s="190"/>
      <c r="E21" s="35">
        <v>53.68</v>
      </c>
      <c r="F21" s="4">
        <v>1448</v>
      </c>
      <c r="G21" s="4">
        <f t="shared" si="19"/>
        <v>77728.639999999999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1930.6666666666665</v>
      </c>
      <c r="N21" s="16">
        <f t="shared" si="3"/>
        <v>120.66666666666666</v>
      </c>
      <c r="O21" s="18">
        <f t="shared" si="4"/>
        <v>0</v>
      </c>
      <c r="P21" s="19">
        <f t="shared" si="5"/>
        <v>-4.3333333333333428</v>
      </c>
      <c r="Q21" s="20">
        <f t="shared" si="6"/>
        <v>0.96533333333333327</v>
      </c>
      <c r="R21" s="170"/>
      <c r="S21" s="27">
        <v>0.26458333333333334</v>
      </c>
      <c r="T21" s="27">
        <v>0.29583333333333334</v>
      </c>
      <c r="U21" s="4">
        <f t="shared" ref="U21:U24" si="22">IF(S21=TIME(17,0,0),"",(S21-T20)*24*60)</f>
        <v>4.9999999999999822</v>
      </c>
      <c r="V21" s="21">
        <f t="shared" si="21"/>
        <v>45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-69.333333333333485</v>
      </c>
      <c r="AF21" s="20">
        <f t="shared" si="9"/>
        <v>0.96533333333333327</v>
      </c>
      <c r="AG21" s="170"/>
    </row>
    <row r="22" spans="1:33" ht="15.75" customHeight="1">
      <c r="A22" s="193" t="s">
        <v>779</v>
      </c>
      <c r="B22" s="35" t="s">
        <v>78</v>
      </c>
      <c r="C22" s="190" t="s">
        <v>94</v>
      </c>
      <c r="D22" s="190"/>
      <c r="E22" s="35">
        <v>50.49</v>
      </c>
      <c r="F22" s="4">
        <v>2051</v>
      </c>
      <c r="G22" s="4">
        <f t="shared" si="19"/>
        <v>103554.99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1922.812500000002</v>
      </c>
      <c r="N22" s="16">
        <f t="shared" si="3"/>
        <v>128.18750000000014</v>
      </c>
      <c r="O22" s="18">
        <f t="shared" si="4"/>
        <v>0</v>
      </c>
      <c r="P22" s="19">
        <f t="shared" si="5"/>
        <v>-5.1458333333332007</v>
      </c>
      <c r="Q22" s="20">
        <f t="shared" si="6"/>
        <v>0.96140625000000102</v>
      </c>
      <c r="R22" s="170"/>
      <c r="S22" s="27">
        <v>0.70833333333333337</v>
      </c>
      <c r="T22" s="27">
        <v>0.75277777777777777</v>
      </c>
      <c r="U22" s="4" t="str">
        <f t="shared" si="22"/>
        <v/>
      </c>
      <c r="V22" s="21">
        <f t="shared" si="21"/>
        <v>63.999999999999929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-77.187499999997954</v>
      </c>
      <c r="AF22" s="20">
        <f t="shared" si="9"/>
        <v>0.96140625000000102</v>
      </c>
      <c r="AG22" s="170"/>
    </row>
    <row r="23" spans="1:33" ht="15.75" customHeight="1">
      <c r="A23" s="193" t="s">
        <v>780</v>
      </c>
      <c r="B23" s="35" t="s">
        <v>78</v>
      </c>
      <c r="C23" s="190" t="s">
        <v>95</v>
      </c>
      <c r="D23" s="190"/>
      <c r="E23" s="35">
        <v>53.68</v>
      </c>
      <c r="F23" s="4">
        <v>1650</v>
      </c>
      <c r="G23" s="4">
        <f t="shared" si="19"/>
        <v>88572</v>
      </c>
      <c r="H23" s="21" t="s">
        <v>133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1434.7826086956541</v>
      </c>
      <c r="N23" s="16">
        <f t="shared" si="3"/>
        <v>89.673913043478379</v>
      </c>
      <c r="O23" s="18">
        <f t="shared" si="4"/>
        <v>0</v>
      </c>
      <c r="P23" s="19">
        <f t="shared" si="5"/>
        <v>-4.0760869565216211</v>
      </c>
      <c r="Q23" s="20">
        <f t="shared" si="6"/>
        <v>0.95652173913043603</v>
      </c>
      <c r="R23" s="170"/>
      <c r="S23" s="27">
        <v>0.75694444444444442</v>
      </c>
      <c r="T23" s="27">
        <v>0.80486111111111103</v>
      </c>
      <c r="U23" s="4">
        <f t="shared" si="22"/>
        <v>5.9999999999999787</v>
      </c>
      <c r="V23" s="21">
        <f t="shared" si="21"/>
        <v>68.999999999999915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-65.217391304345938</v>
      </c>
      <c r="AF23" s="20">
        <f t="shared" si="9"/>
        <v>0.95652173913043603</v>
      </c>
      <c r="AG23" s="170"/>
    </row>
    <row r="24" spans="1:33" ht="15.75" customHeight="1">
      <c r="A24" s="193" t="s">
        <v>779</v>
      </c>
      <c r="B24" s="35" t="s">
        <v>78</v>
      </c>
      <c r="C24" s="190" t="s">
        <v>96</v>
      </c>
      <c r="D24" s="190"/>
      <c r="E24" s="35">
        <v>57.3</v>
      </c>
      <c r="F24" s="4">
        <v>1709</v>
      </c>
      <c r="G24" s="4">
        <f t="shared" si="19"/>
        <v>97925.7</v>
      </c>
      <c r="H24" s="21" t="s">
        <v>133</v>
      </c>
      <c r="I24" s="15">
        <v>13</v>
      </c>
      <c r="J24" s="17">
        <v>2000</v>
      </c>
      <c r="K24" s="16">
        <f t="shared" si="1"/>
        <v>153.84615384615384</v>
      </c>
      <c r="L24" s="15">
        <v>13</v>
      </c>
      <c r="M24" s="17">
        <f t="shared" si="20"/>
        <v>1934.7169811320766</v>
      </c>
      <c r="N24" s="16">
        <f t="shared" si="3"/>
        <v>148.82438316400589</v>
      </c>
      <c r="O24" s="18">
        <f t="shared" si="4"/>
        <v>0</v>
      </c>
      <c r="P24" s="19">
        <f t="shared" si="5"/>
        <v>-5.0217706821479453</v>
      </c>
      <c r="Q24" s="20">
        <f t="shared" si="6"/>
        <v>0.9673584905660384</v>
      </c>
      <c r="R24" s="170"/>
      <c r="S24" s="27">
        <v>0.80972222222222212</v>
      </c>
      <c r="T24" s="27">
        <v>0.84652777777777766</v>
      </c>
      <c r="U24" s="4">
        <f t="shared" si="22"/>
        <v>6.9999999999999751</v>
      </c>
      <c r="V24" s="21">
        <f t="shared" si="21"/>
        <v>52.999999999999972</v>
      </c>
      <c r="W24" s="22"/>
      <c r="X24" s="22"/>
      <c r="Y24" s="4"/>
      <c r="Z24" s="4"/>
      <c r="AA24" s="162"/>
      <c r="AB24" s="162"/>
      <c r="AC24" s="24"/>
      <c r="AD24" s="24"/>
      <c r="AE24" s="18">
        <f t="shared" si="8"/>
        <v>-65.283018867923374</v>
      </c>
      <c r="AF24" s="20">
        <f t="shared" si="9"/>
        <v>0.96735849056603829</v>
      </c>
      <c r="AG24" s="170"/>
    </row>
    <row r="25" spans="1:33" ht="15.75" customHeight="1">
      <c r="A25" s="193" t="s">
        <v>781</v>
      </c>
      <c r="B25" s="35" t="s">
        <v>782</v>
      </c>
      <c r="C25" s="171"/>
      <c r="D25" s="171"/>
      <c r="E25" s="36"/>
      <c r="F25" s="4"/>
      <c r="G25" s="4"/>
      <c r="H25" s="4"/>
      <c r="I25" s="29">
        <v>14.8</v>
      </c>
      <c r="J25" s="17">
        <v>1900</v>
      </c>
      <c r="K25" s="16">
        <f t="shared" si="1"/>
        <v>128.37837837837839</v>
      </c>
      <c r="L25" s="29">
        <v>14.8</v>
      </c>
      <c r="M25" s="17">
        <f>AVERAGE(M20:M24)</f>
        <v>1825.5957512988796</v>
      </c>
      <c r="N25" s="16">
        <f t="shared" si="3"/>
        <v>123.35106427695132</v>
      </c>
      <c r="O25" s="18">
        <f t="shared" si="4"/>
        <v>0</v>
      </c>
      <c r="P25" s="19">
        <f t="shared" si="5"/>
        <v>-5.0273141014270664</v>
      </c>
      <c r="Q25" s="20">
        <f t="shared" si="6"/>
        <v>0.96083986910467334</v>
      </c>
      <c r="R25" s="170"/>
      <c r="S25" s="27"/>
      <c r="T25" s="27"/>
      <c r="U25" s="16"/>
      <c r="V25" s="21"/>
      <c r="W25" s="16"/>
      <c r="X25" s="16"/>
      <c r="Y25" s="30">
        <f>SUM(Y20:Y24)</f>
        <v>0</v>
      </c>
      <c r="Z25" s="30">
        <f>SUM(Z20:Z24)</f>
        <v>0</v>
      </c>
      <c r="AA25" s="166"/>
      <c r="AB25" s="166"/>
      <c r="AC25" s="30">
        <v>5</v>
      </c>
      <c r="AD25" s="30">
        <f>SUM(AD20:AD24)</f>
        <v>0</v>
      </c>
      <c r="AE25" s="18">
        <f t="shared" si="8"/>
        <v>-74.404248701120423</v>
      </c>
      <c r="AF25" s="20">
        <f t="shared" si="9"/>
        <v>0.96083986910467345</v>
      </c>
      <c r="AG25" s="170"/>
    </row>
    <row r="26" spans="1:33" ht="15.75" customHeight="1">
      <c r="A26" s="191" t="s">
        <v>54</v>
      </c>
      <c r="B26" s="35" t="s">
        <v>97</v>
      </c>
      <c r="C26" s="190" t="s">
        <v>98</v>
      </c>
      <c r="D26" s="190"/>
      <c r="E26" s="35">
        <v>31.29</v>
      </c>
      <c r="F26" s="4">
        <v>7565</v>
      </c>
      <c r="G26" s="4">
        <f t="shared" ref="G26:G31" si="23">E26*F26</f>
        <v>236708.85</v>
      </c>
      <c r="H26" s="21" t="s">
        <v>133</v>
      </c>
      <c r="I26" s="15">
        <v>18</v>
      </c>
      <c r="J26" s="17">
        <v>2400</v>
      </c>
      <c r="K26" s="16">
        <f t="shared" si="1"/>
        <v>133.33333333333334</v>
      </c>
      <c r="L26" s="15">
        <v>18</v>
      </c>
      <c r="M26" s="17">
        <f t="shared" ref="M26:M31" si="24">F26/V26*60</f>
        <v>2280.9045226130656</v>
      </c>
      <c r="N26" s="16">
        <f t="shared" si="3"/>
        <v>126.71691792294808</v>
      </c>
      <c r="O26" s="18">
        <f t="shared" si="4"/>
        <v>0</v>
      </c>
      <c r="P26" s="19">
        <f t="shared" si="5"/>
        <v>-6.6164154103852582</v>
      </c>
      <c r="Q26" s="20">
        <f t="shared" si="6"/>
        <v>0.95037688442211055</v>
      </c>
      <c r="R26" s="170">
        <f>Q32</f>
        <v>0.96000105104443423</v>
      </c>
      <c r="S26" s="27">
        <v>8.3333333333333329E-2</v>
      </c>
      <c r="T26" s="27">
        <v>0.22152777777777777</v>
      </c>
      <c r="U26" s="4"/>
      <c r="V26" s="21">
        <f t="shared" ref="V26:V31" si="25">(T26-S26)*24*60</f>
        <v>199</v>
      </c>
      <c r="W26" s="22">
        <f>T26</f>
        <v>0.22152777777777777</v>
      </c>
      <c r="X26" s="22">
        <f>S27</f>
        <v>0.24305555555555555</v>
      </c>
      <c r="Y26" s="22"/>
      <c r="Z26" s="22"/>
      <c r="AA26" s="162"/>
      <c r="AB26" s="162"/>
      <c r="AC26" s="24">
        <v>6</v>
      </c>
      <c r="AD26" s="24"/>
      <c r="AE26" s="18">
        <f t="shared" si="8"/>
        <v>-119.09547738693436</v>
      </c>
      <c r="AF26" s="20">
        <f t="shared" si="9"/>
        <v>0.95037688442211066</v>
      </c>
      <c r="AG26" s="170">
        <f>AF32</f>
        <v>0.96000105104443434</v>
      </c>
    </row>
    <row r="27" spans="1:33" ht="15.75" customHeight="1">
      <c r="A27" s="191" t="s">
        <v>783</v>
      </c>
      <c r="B27" s="35" t="s">
        <v>97</v>
      </c>
      <c r="C27" s="190" t="s">
        <v>99</v>
      </c>
      <c r="D27" s="190"/>
      <c r="E27" s="35">
        <v>25.98</v>
      </c>
      <c r="F27" s="4">
        <v>2434</v>
      </c>
      <c r="G27" s="4">
        <f t="shared" si="23"/>
        <v>63235.32</v>
      </c>
      <c r="H27" s="21" t="s">
        <v>133</v>
      </c>
      <c r="I27" s="15">
        <v>21</v>
      </c>
      <c r="J27" s="17">
        <v>2400</v>
      </c>
      <c r="K27" s="16">
        <f t="shared" si="1"/>
        <v>114.28571428571429</v>
      </c>
      <c r="L27" s="15">
        <v>21</v>
      </c>
      <c r="M27" s="17">
        <f t="shared" si="24"/>
        <v>2318.095238095239</v>
      </c>
      <c r="N27" s="16">
        <f t="shared" si="3"/>
        <v>110.38548752834471</v>
      </c>
      <c r="O27" s="18">
        <f t="shared" si="4"/>
        <v>0</v>
      </c>
      <c r="P27" s="19">
        <f t="shared" si="5"/>
        <v>-3.9002267573695804</v>
      </c>
      <c r="Q27" s="20">
        <f t="shared" si="6"/>
        <v>0.96587301587301622</v>
      </c>
      <c r="R27" s="170"/>
      <c r="S27" s="27">
        <v>0.24305555555555555</v>
      </c>
      <c r="T27" s="27">
        <v>0.28680555555555554</v>
      </c>
      <c r="U27" s="4">
        <f t="shared" ref="U27:U31" si="26">(S27-T26)*24*60</f>
        <v>31.000000000000011</v>
      </c>
      <c r="V27" s="21">
        <f t="shared" si="25"/>
        <v>62.999999999999979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-81.904761904761017</v>
      </c>
      <c r="AF27" s="20">
        <f t="shared" si="9"/>
        <v>0.96587301587301622</v>
      </c>
      <c r="AG27" s="170"/>
    </row>
    <row r="28" spans="1:33" ht="15.75" customHeight="1">
      <c r="A28" s="191" t="s">
        <v>783</v>
      </c>
      <c r="B28" s="35" t="s">
        <v>97</v>
      </c>
      <c r="C28" s="190" t="s">
        <v>100</v>
      </c>
      <c r="D28" s="190"/>
      <c r="E28" s="35">
        <v>26.2</v>
      </c>
      <c r="F28" s="4">
        <v>4186</v>
      </c>
      <c r="G28" s="4">
        <f t="shared" si="23"/>
        <v>109673.2</v>
      </c>
      <c r="H28" s="21" t="s">
        <v>133</v>
      </c>
      <c r="I28" s="15">
        <v>20</v>
      </c>
      <c r="J28" s="17">
        <v>2400</v>
      </c>
      <c r="K28" s="16">
        <f t="shared" si="1"/>
        <v>120</v>
      </c>
      <c r="L28" s="15">
        <v>20</v>
      </c>
      <c r="M28" s="17">
        <f t="shared" si="24"/>
        <v>2283.272727272727</v>
      </c>
      <c r="N28" s="16">
        <f t="shared" si="3"/>
        <v>114.16363636363636</v>
      </c>
      <c r="O28" s="18">
        <f t="shared" si="4"/>
        <v>0</v>
      </c>
      <c r="P28" s="19">
        <f t="shared" si="5"/>
        <v>-5.8363636363636431</v>
      </c>
      <c r="Q28" s="20">
        <f t="shared" si="6"/>
        <v>0.9513636363636363</v>
      </c>
      <c r="R28" s="170"/>
      <c r="S28" s="27">
        <v>0.29166666666666663</v>
      </c>
      <c r="T28" s="27">
        <v>0.36805555555555552</v>
      </c>
      <c r="U28" s="4">
        <f t="shared" si="26"/>
        <v>6.9999999999999751</v>
      </c>
      <c r="V28" s="21">
        <f t="shared" si="25"/>
        <v>110.00000000000001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-116.72727272727298</v>
      </c>
      <c r="AF28" s="20">
        <f t="shared" si="9"/>
        <v>0.9513636363636363</v>
      </c>
      <c r="AG28" s="170"/>
    </row>
    <row r="29" spans="1:33" ht="15.75" customHeight="1">
      <c r="A29" s="191" t="s">
        <v>54</v>
      </c>
      <c r="B29" s="35" t="s">
        <v>97</v>
      </c>
      <c r="C29" s="190" t="s">
        <v>101</v>
      </c>
      <c r="D29" s="190"/>
      <c r="E29" s="35">
        <v>25.99</v>
      </c>
      <c r="F29" s="4">
        <v>3267</v>
      </c>
      <c r="G29" s="4">
        <f t="shared" si="23"/>
        <v>84909.33</v>
      </c>
      <c r="H29" s="21" t="s">
        <v>133</v>
      </c>
      <c r="I29" s="15">
        <v>14</v>
      </c>
      <c r="J29" s="17">
        <v>2400</v>
      </c>
      <c r="K29" s="16">
        <f t="shared" si="1"/>
        <v>171.42857142857142</v>
      </c>
      <c r="L29" s="15">
        <v>14</v>
      </c>
      <c r="M29" s="17">
        <f t="shared" si="24"/>
        <v>2306.1176470588234</v>
      </c>
      <c r="N29" s="16">
        <f t="shared" si="3"/>
        <v>164.72268907563026</v>
      </c>
      <c r="O29" s="18">
        <f t="shared" si="4"/>
        <v>0</v>
      </c>
      <c r="P29" s="19">
        <f t="shared" si="5"/>
        <v>-6.7058823529411598</v>
      </c>
      <c r="Q29" s="20">
        <f t="shared" si="6"/>
        <v>0.96088235294117652</v>
      </c>
      <c r="R29" s="170"/>
      <c r="S29" s="27">
        <v>0.37361111111111106</v>
      </c>
      <c r="T29" s="27">
        <v>0.43263888888888885</v>
      </c>
      <c r="U29" s="4">
        <f t="shared" si="26"/>
        <v>7.9999999999999716</v>
      </c>
      <c r="V29" s="21">
        <f t="shared" si="25"/>
        <v>85.000000000000014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-93.882352941176578</v>
      </c>
      <c r="AF29" s="20">
        <f t="shared" si="9"/>
        <v>0.96088235294117641</v>
      </c>
      <c r="AG29" s="170"/>
    </row>
    <row r="30" spans="1:33" ht="15.75" customHeight="1">
      <c r="A30" s="191" t="s">
        <v>54</v>
      </c>
      <c r="B30" s="35" t="s">
        <v>97</v>
      </c>
      <c r="C30" s="190" t="s">
        <v>102</v>
      </c>
      <c r="D30" s="190"/>
      <c r="E30" s="35">
        <v>26.18</v>
      </c>
      <c r="F30" s="4">
        <v>1401</v>
      </c>
      <c r="G30" s="4">
        <f t="shared" si="23"/>
        <v>36678.18</v>
      </c>
      <c r="H30" s="21" t="s">
        <v>133</v>
      </c>
      <c r="I30" s="15">
        <v>19</v>
      </c>
      <c r="J30" s="17">
        <v>2400</v>
      </c>
      <c r="K30" s="16">
        <f t="shared" si="1"/>
        <v>126.31578947368421</v>
      </c>
      <c r="L30" s="15">
        <v>19</v>
      </c>
      <c r="M30" s="17">
        <f t="shared" si="24"/>
        <v>2334.9999999999982</v>
      </c>
      <c r="N30" s="16">
        <f t="shared" si="3"/>
        <v>122.89473684210516</v>
      </c>
      <c r="O30" s="18">
        <f t="shared" si="4"/>
        <v>0</v>
      </c>
      <c r="P30" s="19">
        <f t="shared" si="5"/>
        <v>-3.4210526315790446</v>
      </c>
      <c r="Q30" s="20">
        <f t="shared" si="6"/>
        <v>0.97291666666666587</v>
      </c>
      <c r="R30" s="170"/>
      <c r="S30" s="27">
        <v>0.43611111111111106</v>
      </c>
      <c r="T30" s="27">
        <v>0.46111111111111108</v>
      </c>
      <c r="U30" s="4">
        <f t="shared" si="26"/>
        <v>4.9999999999999822</v>
      </c>
      <c r="V30" s="21">
        <f t="shared" si="25"/>
        <v>36.000000000000028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-65.000000000001819</v>
      </c>
      <c r="AF30" s="20">
        <f t="shared" si="9"/>
        <v>0.97291666666666587</v>
      </c>
      <c r="AG30" s="170"/>
    </row>
    <row r="31" spans="1:33" ht="15.75" customHeight="1">
      <c r="A31" s="191" t="s">
        <v>54</v>
      </c>
      <c r="B31" s="35" t="s">
        <v>97</v>
      </c>
      <c r="C31" s="190" t="s">
        <v>106</v>
      </c>
      <c r="D31" s="190"/>
      <c r="E31" s="35">
        <v>20.21</v>
      </c>
      <c r="F31" s="4">
        <v>2454</v>
      </c>
      <c r="G31" s="4">
        <f t="shared" si="23"/>
        <v>49595.340000000004</v>
      </c>
      <c r="H31" s="21" t="s">
        <v>133</v>
      </c>
      <c r="I31" s="15">
        <v>15</v>
      </c>
      <c r="J31" s="17">
        <v>2400</v>
      </c>
      <c r="K31" s="16">
        <f t="shared" si="1"/>
        <v>160</v>
      </c>
      <c r="L31" s="15">
        <v>15</v>
      </c>
      <c r="M31" s="17">
        <f t="shared" si="24"/>
        <v>2300.6249999999995</v>
      </c>
      <c r="N31" s="16">
        <f t="shared" si="3"/>
        <v>153.37499999999997</v>
      </c>
      <c r="O31" s="18">
        <f t="shared" si="4"/>
        <v>0</v>
      </c>
      <c r="P31" s="19">
        <f t="shared" si="5"/>
        <v>-6.6250000000000284</v>
      </c>
      <c r="Q31" s="20">
        <f t="shared" si="6"/>
        <v>0.9585937499999998</v>
      </c>
      <c r="R31" s="170"/>
      <c r="S31" s="27">
        <v>0.46458333333333329</v>
      </c>
      <c r="T31" s="27">
        <v>0.50902777777777775</v>
      </c>
      <c r="U31" s="4">
        <f t="shared" si="26"/>
        <v>4.9999999999999822</v>
      </c>
      <c r="V31" s="21">
        <f t="shared" si="25"/>
        <v>64.000000000000014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-99.375000000000455</v>
      </c>
      <c r="AF31" s="20">
        <f t="shared" si="9"/>
        <v>0.9585937499999998</v>
      </c>
      <c r="AG31" s="170"/>
    </row>
    <row r="32" spans="1:33" ht="15.75" customHeight="1">
      <c r="A32" s="191" t="s">
        <v>783</v>
      </c>
      <c r="B32" s="35" t="s">
        <v>782</v>
      </c>
      <c r="C32" s="171"/>
      <c r="D32" s="171"/>
      <c r="E32" s="36"/>
      <c r="F32" s="4"/>
      <c r="G32" s="4"/>
      <c r="H32" s="4"/>
      <c r="I32" s="29">
        <v>17.833333333333332</v>
      </c>
      <c r="J32" s="17">
        <v>2400</v>
      </c>
      <c r="K32" s="16">
        <f t="shared" si="1"/>
        <v>134.57943925233647</v>
      </c>
      <c r="L32" s="29">
        <v>17.833333333333332</v>
      </c>
      <c r="M32" s="17">
        <f>AVERAGE(M26:M31)</f>
        <v>2304.0025225066424</v>
      </c>
      <c r="N32" s="16">
        <f t="shared" si="3"/>
        <v>129.1964031312136</v>
      </c>
      <c r="O32" s="18">
        <f t="shared" si="4"/>
        <v>0</v>
      </c>
      <c r="P32" s="19">
        <f t="shared" si="5"/>
        <v>-5.3830361211228706</v>
      </c>
      <c r="Q32" s="20">
        <f t="shared" si="6"/>
        <v>0.96000105104443423</v>
      </c>
      <c r="R32" s="170"/>
      <c r="S32" s="27"/>
      <c r="T32" s="27"/>
      <c r="U32" s="4"/>
      <c r="V32" s="21"/>
      <c r="W32" s="4"/>
      <c r="X32" s="4"/>
      <c r="Y32" s="30">
        <f>SUM(Y26:Y31)</f>
        <v>0</v>
      </c>
      <c r="Z32" s="30">
        <f>SUM(Z26:Z31)</f>
        <v>0</v>
      </c>
      <c r="AA32" s="166"/>
      <c r="AB32" s="166"/>
      <c r="AC32" s="30">
        <v>6</v>
      </c>
      <c r="AD32" s="30">
        <f>SUM(AD26:AD31)</f>
        <v>0</v>
      </c>
      <c r="AE32" s="18">
        <f t="shared" si="8"/>
        <v>-95.997477493357565</v>
      </c>
      <c r="AF32" s="20">
        <f t="shared" si="9"/>
        <v>0.96000105104443434</v>
      </c>
      <c r="AG32" s="170"/>
    </row>
    <row r="33" spans="1:33" ht="15.75" customHeight="1">
      <c r="A33" s="188" t="s">
        <v>59</v>
      </c>
      <c r="B33" s="35" t="s">
        <v>97</v>
      </c>
      <c r="C33" s="163" t="s">
        <v>103</v>
      </c>
      <c r="D33" s="163"/>
      <c r="E33" s="35">
        <v>26.2</v>
      </c>
      <c r="F33" s="4">
        <v>5473</v>
      </c>
      <c r="G33" s="4">
        <f t="shared" ref="G33:G38" si="27">E33*F33</f>
        <v>143392.6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ref="M33:M38" si="28">F33/V33*60</f>
        <v>2296.3636363636365</v>
      </c>
      <c r="N33" s="16">
        <f t="shared" si="3"/>
        <v>127.57575757575758</v>
      </c>
      <c r="O33" s="18">
        <f t="shared" si="4"/>
        <v>0</v>
      </c>
      <c r="P33" s="19">
        <f t="shared" si="5"/>
        <v>-5.7575757575757649</v>
      </c>
      <c r="Q33" s="20">
        <f t="shared" si="6"/>
        <v>0.95681818181818179</v>
      </c>
      <c r="R33" s="170">
        <f>Q39</f>
        <v>0.95661525983973139</v>
      </c>
      <c r="S33" s="27">
        <v>8.3333333333333329E-2</v>
      </c>
      <c r="T33" s="27">
        <v>0.18263888888888888</v>
      </c>
      <c r="U33" s="4"/>
      <c r="V33" s="21">
        <f t="shared" ref="V33:V38" si="29">(T33-S33)*24*60</f>
        <v>143</v>
      </c>
      <c r="W33" s="27">
        <f>T33</f>
        <v>0.18263888888888888</v>
      </c>
      <c r="X33" s="27">
        <f>S34</f>
        <v>0.20208333333333331</v>
      </c>
      <c r="Y33" s="27"/>
      <c r="Z33" s="27"/>
      <c r="AA33" s="162"/>
      <c r="AB33" s="162"/>
      <c r="AC33" s="24">
        <v>6</v>
      </c>
      <c r="AD33" s="24"/>
      <c r="AE33" s="18">
        <f t="shared" si="8"/>
        <v>-103.63636363636351</v>
      </c>
      <c r="AF33" s="20">
        <f t="shared" si="9"/>
        <v>0.9568181818181819</v>
      </c>
      <c r="AG33" s="170">
        <f>AF39</f>
        <v>0.9566152598397315</v>
      </c>
    </row>
    <row r="34" spans="1:33" ht="15.75" customHeight="1">
      <c r="A34" s="188" t="s">
        <v>784</v>
      </c>
      <c r="B34" s="35" t="s">
        <v>97</v>
      </c>
      <c r="C34" s="163" t="s">
        <v>104</v>
      </c>
      <c r="D34" s="163"/>
      <c r="E34" s="35">
        <v>20.52</v>
      </c>
      <c r="F34" s="4">
        <v>2973</v>
      </c>
      <c r="G34" s="4">
        <f t="shared" si="27"/>
        <v>61005.96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2286.9230769230767</v>
      </c>
      <c r="N34" s="16">
        <f t="shared" si="3"/>
        <v>127.05128205128204</v>
      </c>
      <c r="O34" s="18">
        <f t="shared" si="4"/>
        <v>0</v>
      </c>
      <c r="P34" s="19">
        <f t="shared" si="5"/>
        <v>-6.2820512820512988</v>
      </c>
      <c r="Q34" s="20">
        <f t="shared" si="6"/>
        <v>0.95288461538461522</v>
      </c>
      <c r="R34" s="170"/>
      <c r="S34" s="27">
        <v>0.20208333333333331</v>
      </c>
      <c r="T34" s="27">
        <v>0.25624999999999998</v>
      </c>
      <c r="U34" s="4">
        <f t="shared" ref="U34:U38" si="30">(S34-T33)*24*60</f>
        <v>27.999999999999979</v>
      </c>
      <c r="V34" s="21">
        <f t="shared" si="29"/>
        <v>78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-113.07692307692332</v>
      </c>
      <c r="AF34" s="20">
        <f t="shared" si="9"/>
        <v>0.95288461538461533</v>
      </c>
      <c r="AG34" s="170"/>
    </row>
    <row r="35" spans="1:33">
      <c r="A35" s="189" t="s">
        <v>784</v>
      </c>
      <c r="B35" s="35" t="s">
        <v>97</v>
      </c>
      <c r="C35" s="163" t="s">
        <v>105</v>
      </c>
      <c r="D35" s="163"/>
      <c r="E35" s="35">
        <v>26.39</v>
      </c>
      <c r="F35" s="4">
        <v>4729</v>
      </c>
      <c r="G35" s="4">
        <f t="shared" si="27"/>
        <v>124798.31</v>
      </c>
      <c r="H35" s="21" t="s">
        <v>133</v>
      </c>
      <c r="I35" s="15">
        <v>19</v>
      </c>
      <c r="J35" s="17">
        <v>2400</v>
      </c>
      <c r="K35" s="16">
        <f t="shared" si="1"/>
        <v>126.31578947368421</v>
      </c>
      <c r="L35" s="15">
        <v>19</v>
      </c>
      <c r="M35" s="17">
        <f t="shared" si="28"/>
        <v>2288.2258064516122</v>
      </c>
      <c r="N35" s="16">
        <f t="shared" si="3"/>
        <v>120.4329371816638</v>
      </c>
      <c r="O35" s="18">
        <f t="shared" si="4"/>
        <v>0</v>
      </c>
      <c r="P35" s="19">
        <f t="shared" si="5"/>
        <v>-5.8828522920204023</v>
      </c>
      <c r="Q35" s="20">
        <f t="shared" si="6"/>
        <v>0.95342741935483843</v>
      </c>
      <c r="R35" s="170"/>
      <c r="S35" s="27">
        <v>0.26180555555555551</v>
      </c>
      <c r="T35" s="27">
        <v>0.34791666666666665</v>
      </c>
      <c r="U35" s="4">
        <f t="shared" si="30"/>
        <v>7.9999999999999716</v>
      </c>
      <c r="V35" s="21">
        <f t="shared" si="29"/>
        <v>124.00000000000004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-111.77419354838776</v>
      </c>
      <c r="AF35" s="20">
        <f t="shared" si="9"/>
        <v>0.95342741935483843</v>
      </c>
      <c r="AG35" s="170"/>
    </row>
    <row r="36" spans="1:33">
      <c r="A36" s="189" t="s">
        <v>59</v>
      </c>
      <c r="B36" s="35" t="s">
        <v>97</v>
      </c>
      <c r="C36" s="163" t="s">
        <v>107</v>
      </c>
      <c r="D36" s="163"/>
      <c r="E36" s="35">
        <v>20.52</v>
      </c>
      <c r="F36" s="4">
        <v>2320</v>
      </c>
      <c r="G36" s="4">
        <f t="shared" si="27"/>
        <v>47606.400000000001</v>
      </c>
      <c r="H36" s="21" t="s">
        <v>133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2319.9999999999991</v>
      </c>
      <c r="N36" s="16">
        <f t="shared" si="3"/>
        <v>128.88888888888883</v>
      </c>
      <c r="O36" s="18">
        <f t="shared" si="4"/>
        <v>0</v>
      </c>
      <c r="P36" s="19">
        <f t="shared" si="5"/>
        <v>-4.4444444444445139</v>
      </c>
      <c r="Q36" s="20">
        <f t="shared" si="6"/>
        <v>0.96666666666666612</v>
      </c>
      <c r="R36" s="170"/>
      <c r="S36" s="27">
        <v>0.35347222222222219</v>
      </c>
      <c r="T36" s="27">
        <v>0.39513888888888887</v>
      </c>
      <c r="U36" s="4">
        <f t="shared" si="30"/>
        <v>7.9999999999999716</v>
      </c>
      <c r="V36" s="21">
        <f t="shared" si="29"/>
        <v>60.000000000000028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-80.000000000000909</v>
      </c>
      <c r="AF36" s="20">
        <f t="shared" si="9"/>
        <v>0.96666666666666634</v>
      </c>
      <c r="AG36" s="170"/>
    </row>
    <row r="37" spans="1:33">
      <c r="A37" s="189" t="s">
        <v>784</v>
      </c>
      <c r="B37" s="35" t="s">
        <v>97</v>
      </c>
      <c r="C37" s="163" t="s">
        <v>304</v>
      </c>
      <c r="D37" s="163"/>
      <c r="E37" s="35">
        <v>22.69</v>
      </c>
      <c r="F37" s="4">
        <v>5000</v>
      </c>
      <c r="G37" s="4">
        <f t="shared" si="27"/>
        <v>113450</v>
      </c>
      <c r="H37" s="21">
        <v>2</v>
      </c>
      <c r="I37" s="15">
        <v>15</v>
      </c>
      <c r="J37" s="17">
        <v>2400</v>
      </c>
      <c r="K37" s="16">
        <f t="shared" si="1"/>
        <v>160</v>
      </c>
      <c r="L37" s="15">
        <v>15</v>
      </c>
      <c r="M37" s="17">
        <f t="shared" si="28"/>
        <v>2290.0763358778627</v>
      </c>
      <c r="N37" s="16">
        <f t="shared" si="3"/>
        <v>152.67175572519085</v>
      </c>
      <c r="O37" s="18">
        <f t="shared" si="4"/>
        <v>0</v>
      </c>
      <c r="P37" s="19">
        <f t="shared" si="5"/>
        <v>-7.3282442748091512</v>
      </c>
      <c r="Q37" s="20">
        <f t="shared" si="6"/>
        <v>0.95419847328244278</v>
      </c>
      <c r="R37" s="170"/>
      <c r="S37" s="27">
        <v>0.39861111111111108</v>
      </c>
      <c r="T37" s="27">
        <v>0.48958333333333331</v>
      </c>
      <c r="U37" s="4">
        <f t="shared" si="30"/>
        <v>4.9999999999999822</v>
      </c>
      <c r="V37" s="21">
        <f t="shared" si="29"/>
        <v>131</v>
      </c>
      <c r="W37" s="22">
        <f>T37</f>
        <v>0.48958333333333331</v>
      </c>
      <c r="X37" s="22">
        <f>S38</f>
        <v>0.53124999999999989</v>
      </c>
      <c r="Y37" s="22"/>
      <c r="Z37" s="22"/>
      <c r="AA37" s="162"/>
      <c r="AB37" s="162"/>
      <c r="AC37" s="24"/>
      <c r="AD37" s="24"/>
      <c r="AE37" s="18">
        <f t="shared" si="8"/>
        <v>-109.92366412213732</v>
      </c>
      <c r="AF37" s="20">
        <f t="shared" si="9"/>
        <v>0.95419847328244278</v>
      </c>
      <c r="AG37" s="170"/>
    </row>
    <row r="38" spans="1:33">
      <c r="A38" s="189" t="s">
        <v>59</v>
      </c>
      <c r="B38" s="35" t="s">
        <v>97</v>
      </c>
      <c r="C38" s="163" t="s">
        <v>304</v>
      </c>
      <c r="D38" s="163"/>
      <c r="E38" s="35">
        <v>22.69</v>
      </c>
      <c r="F38" s="4">
        <v>3020</v>
      </c>
      <c r="G38" s="4">
        <f t="shared" si="27"/>
        <v>68523.8</v>
      </c>
      <c r="H38" s="21" t="s">
        <v>133</v>
      </c>
      <c r="I38" s="15">
        <v>15</v>
      </c>
      <c r="J38" s="17">
        <v>2400</v>
      </c>
      <c r="K38" s="16">
        <f t="shared" si="1"/>
        <v>160</v>
      </c>
      <c r="L38" s="15">
        <v>15</v>
      </c>
      <c r="M38" s="17">
        <f t="shared" si="28"/>
        <v>2293.6708860759481</v>
      </c>
      <c r="N38" s="16">
        <f t="shared" si="3"/>
        <v>152.9113924050632</v>
      </c>
      <c r="O38" s="18">
        <f t="shared" si="4"/>
        <v>0</v>
      </c>
      <c r="P38" s="19">
        <f t="shared" si="5"/>
        <v>-7.0886075949368035</v>
      </c>
      <c r="Q38" s="20">
        <f t="shared" si="6"/>
        <v>0.955696202531645</v>
      </c>
      <c r="R38" s="170"/>
      <c r="S38" s="27">
        <v>0.53124999999999989</v>
      </c>
      <c r="T38" s="27">
        <v>0.58611111111111103</v>
      </c>
      <c r="U38" s="4">
        <f t="shared" si="30"/>
        <v>59.999999999999865</v>
      </c>
      <c r="V38" s="21">
        <f t="shared" si="29"/>
        <v>79.000000000000043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-106.32911392405185</v>
      </c>
      <c r="AF38" s="20">
        <f t="shared" si="9"/>
        <v>0.95569620253164511</v>
      </c>
      <c r="AG38" s="170"/>
    </row>
    <row r="39" spans="1:33">
      <c r="A39" s="189" t="s">
        <v>784</v>
      </c>
      <c r="B39" s="16" t="s">
        <v>782</v>
      </c>
      <c r="C39" s="171"/>
      <c r="D39" s="171"/>
      <c r="E39" s="36"/>
      <c r="F39" s="16"/>
      <c r="G39" s="16"/>
      <c r="H39" s="4"/>
      <c r="I39" s="29">
        <v>17.166666666666668</v>
      </c>
      <c r="J39" s="17">
        <v>2400</v>
      </c>
      <c r="K39" s="16">
        <f t="shared" si="1"/>
        <v>139.80582524271844</v>
      </c>
      <c r="L39" s="29">
        <v>17.166666666666668</v>
      </c>
      <c r="M39" s="17">
        <f>AVERAGE(M33:M38)</f>
        <v>2295.8766236153556</v>
      </c>
      <c r="N39" s="16">
        <f t="shared" si="3"/>
        <v>133.74038584167118</v>
      </c>
      <c r="O39" s="18">
        <f t="shared" si="4"/>
        <v>0</v>
      </c>
      <c r="P39" s="19">
        <f t="shared" si="5"/>
        <v>-6.0654394010472572</v>
      </c>
      <c r="Q39" s="20">
        <f t="shared" si="6"/>
        <v>0.95661525983973139</v>
      </c>
      <c r="R39" s="170"/>
      <c r="S39" s="27"/>
      <c r="T39" s="27"/>
      <c r="U39" s="16"/>
      <c r="V39" s="21"/>
      <c r="W39" s="16"/>
      <c r="X39" s="16"/>
      <c r="Y39" s="30">
        <f>SUM(Y33:Y38)</f>
        <v>0</v>
      </c>
      <c r="Z39" s="30">
        <f>SUM(Z33:Z38)</f>
        <v>0</v>
      </c>
      <c r="AA39" s="166"/>
      <c r="AB39" s="166"/>
      <c r="AC39" s="30">
        <v>6</v>
      </c>
      <c r="AD39" s="30">
        <f>SUM(AD33:AD38)</f>
        <v>0</v>
      </c>
      <c r="AE39" s="18">
        <f t="shared" si="8"/>
        <v>-104.12337638464442</v>
      </c>
      <c r="AF39" s="20">
        <f t="shared" si="9"/>
        <v>0.9566152598397315</v>
      </c>
      <c r="AG39" s="170"/>
    </row>
    <row r="40" spans="1:33" ht="15.75" customHeight="1">
      <c r="A40" s="182" t="s">
        <v>68</v>
      </c>
      <c r="B40" s="35" t="s">
        <v>108</v>
      </c>
      <c r="C40" s="174" t="s">
        <v>109</v>
      </c>
      <c r="D40" s="175"/>
      <c r="E40" s="35">
        <v>34.36</v>
      </c>
      <c r="F40" s="4">
        <v>2418</v>
      </c>
      <c r="G40" s="4">
        <f t="shared" ref="G40:G45" si="31">E40*F40</f>
        <v>83082.48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ref="M40:M45" si="32">F40/V40*60</f>
        <v>2901.6</v>
      </c>
      <c r="N40" s="17">
        <f t="shared" si="3"/>
        <v>290.15999999999997</v>
      </c>
      <c r="O40" s="18">
        <f t="shared" si="4"/>
        <v>0</v>
      </c>
      <c r="P40" s="19">
        <f t="shared" si="5"/>
        <v>-9.8400000000000318</v>
      </c>
      <c r="Q40" s="20">
        <f t="shared" si="6"/>
        <v>0.96719999999999995</v>
      </c>
      <c r="R40" s="185">
        <f>Q46</f>
        <v>0.95771642086043418</v>
      </c>
      <c r="S40" s="27">
        <v>8.3333333333333329E-2</v>
      </c>
      <c r="T40" s="27">
        <v>0.11805555555555555</v>
      </c>
      <c r="U40" s="27"/>
      <c r="V40" s="21">
        <f t="shared" ref="V40:V45" si="33">(T40-S40)*24*60</f>
        <v>50</v>
      </c>
      <c r="W40" s="22"/>
      <c r="X40" s="22"/>
      <c r="Y40" s="25"/>
      <c r="Z40" s="25"/>
      <c r="AA40" s="176"/>
      <c r="AB40" s="177"/>
      <c r="AC40" s="24">
        <v>6</v>
      </c>
      <c r="AD40" s="24"/>
      <c r="AE40" s="18">
        <f t="shared" si="8"/>
        <v>-98.400000000000091</v>
      </c>
      <c r="AF40" s="20">
        <f t="shared" si="9"/>
        <v>0.96719999999999995</v>
      </c>
      <c r="AG40" s="185">
        <f>AF46</f>
        <v>0.95771642086043418</v>
      </c>
    </row>
    <row r="41" spans="1:33" ht="15.75" customHeight="1">
      <c r="A41" s="183" t="s">
        <v>68</v>
      </c>
      <c r="B41" s="35" t="s">
        <v>108</v>
      </c>
      <c r="C41" s="174" t="s">
        <v>110</v>
      </c>
      <c r="D41" s="175"/>
      <c r="E41" s="35">
        <v>26.78</v>
      </c>
      <c r="F41" s="4">
        <v>2674</v>
      </c>
      <c r="G41" s="4">
        <f t="shared" si="31"/>
        <v>71609.72</v>
      </c>
      <c r="H41" s="21" t="s">
        <v>133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2865.0000000000014</v>
      </c>
      <c r="N41" s="17">
        <f t="shared" si="3"/>
        <v>286.50000000000011</v>
      </c>
      <c r="O41" s="18">
        <f t="shared" si="4"/>
        <v>0</v>
      </c>
      <c r="P41" s="19">
        <f t="shared" si="5"/>
        <v>-13.499999999999886</v>
      </c>
      <c r="Q41" s="20">
        <f t="shared" si="6"/>
        <v>0.9550000000000004</v>
      </c>
      <c r="R41" s="186"/>
      <c r="S41" s="27">
        <v>0.1236111111111111</v>
      </c>
      <c r="T41" s="27">
        <v>0.16249999999999998</v>
      </c>
      <c r="U41" s="4">
        <f t="shared" ref="U41:U45" si="34">(S41-T40)*24*60</f>
        <v>7.9999999999999911</v>
      </c>
      <c r="V41" s="21">
        <f t="shared" si="33"/>
        <v>55.999999999999979</v>
      </c>
      <c r="W41" s="22">
        <f>T41</f>
        <v>0.16249999999999998</v>
      </c>
      <c r="X41" s="22">
        <f>S42</f>
        <v>0.18055555555555552</v>
      </c>
      <c r="Y41" s="25"/>
      <c r="Z41" s="25"/>
      <c r="AA41" s="176"/>
      <c r="AB41" s="177"/>
      <c r="AC41" s="24"/>
      <c r="AD41" s="24"/>
      <c r="AE41" s="18">
        <f t="shared" si="8"/>
        <v>-134.99999999999864</v>
      </c>
      <c r="AF41" s="20">
        <f t="shared" si="9"/>
        <v>0.9550000000000004</v>
      </c>
      <c r="AG41" s="186"/>
    </row>
    <row r="42" spans="1:33" ht="15.75" customHeight="1">
      <c r="A42" s="183" t="s">
        <v>68</v>
      </c>
      <c r="B42" s="35" t="s">
        <v>108</v>
      </c>
      <c r="C42" s="174" t="s">
        <v>111</v>
      </c>
      <c r="D42" s="175"/>
      <c r="E42" s="35">
        <v>21.13</v>
      </c>
      <c r="F42" s="4">
        <v>4909</v>
      </c>
      <c r="G42" s="4">
        <f t="shared" si="31"/>
        <v>103727.17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2859.6116504854358</v>
      </c>
      <c r="N42" s="17">
        <f t="shared" si="3"/>
        <v>285.96116504854359</v>
      </c>
      <c r="O42" s="18">
        <f t="shared" si="4"/>
        <v>0</v>
      </c>
      <c r="P42" s="19">
        <f t="shared" si="5"/>
        <v>-14.038834951456408</v>
      </c>
      <c r="Q42" s="20">
        <f t="shared" si="6"/>
        <v>0.95320388349514529</v>
      </c>
      <c r="R42" s="186"/>
      <c r="S42" s="27">
        <v>0.18055555555555552</v>
      </c>
      <c r="T42" s="27">
        <v>0.25208333333333333</v>
      </c>
      <c r="U42" s="4">
        <f t="shared" si="34"/>
        <v>25.999999999999986</v>
      </c>
      <c r="V42" s="21">
        <f t="shared" si="33"/>
        <v>103.00000000000003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-140.3883495145642</v>
      </c>
      <c r="AF42" s="20">
        <f t="shared" si="9"/>
        <v>0.95320388349514529</v>
      </c>
      <c r="AG42" s="186"/>
    </row>
    <row r="43" spans="1:33" ht="15.75" customHeight="1">
      <c r="A43" s="183" t="s">
        <v>68</v>
      </c>
      <c r="B43" s="35" t="s">
        <v>108</v>
      </c>
      <c r="C43" s="174" t="s">
        <v>112</v>
      </c>
      <c r="D43" s="175"/>
      <c r="E43" s="35">
        <v>27.17</v>
      </c>
      <c r="F43" s="4">
        <v>6376</v>
      </c>
      <c r="G43" s="4">
        <f t="shared" si="31"/>
        <v>173235.92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2876.3909774436092</v>
      </c>
      <c r="N43" s="17">
        <f t="shared" si="3"/>
        <v>287.63909774436092</v>
      </c>
      <c r="O43" s="18">
        <f t="shared" si="4"/>
        <v>0</v>
      </c>
      <c r="P43" s="19">
        <f t="shared" si="5"/>
        <v>-12.360902255639076</v>
      </c>
      <c r="Q43" s="20">
        <f t="shared" si="6"/>
        <v>0.95879699248120309</v>
      </c>
      <c r="R43" s="186"/>
      <c r="S43" s="27">
        <v>0.25763888888888886</v>
      </c>
      <c r="T43" s="27">
        <v>0.35</v>
      </c>
      <c r="U43" s="4">
        <f t="shared" si="34"/>
        <v>7.9999999999999716</v>
      </c>
      <c r="V43" s="21">
        <f t="shared" si="33"/>
        <v>133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-123.60902255639076</v>
      </c>
      <c r="AF43" s="20">
        <f t="shared" si="9"/>
        <v>0.95879699248120309</v>
      </c>
      <c r="AG43" s="186"/>
    </row>
    <row r="44" spans="1:33" ht="15.75" customHeight="1">
      <c r="A44" s="183" t="s">
        <v>68</v>
      </c>
      <c r="B44" s="35" t="s">
        <v>108</v>
      </c>
      <c r="C44" s="174" t="s">
        <v>305</v>
      </c>
      <c r="D44" s="175"/>
      <c r="E44" s="35">
        <v>28.3</v>
      </c>
      <c r="F44" s="4">
        <v>4669</v>
      </c>
      <c r="G44" s="4">
        <f t="shared" si="31"/>
        <v>132132.70000000001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2858.5714285714298</v>
      </c>
      <c r="N44" s="17">
        <f t="shared" si="3"/>
        <v>357.32142857142873</v>
      </c>
      <c r="O44" s="18">
        <f t="shared" si="4"/>
        <v>0</v>
      </c>
      <c r="P44" s="19">
        <f t="shared" si="5"/>
        <v>-17.678571428571274</v>
      </c>
      <c r="Q44" s="20">
        <f t="shared" si="6"/>
        <v>0.95285714285714329</v>
      </c>
      <c r="R44" s="186"/>
      <c r="S44" s="27">
        <v>0.35416666666666663</v>
      </c>
      <c r="T44" s="27">
        <v>0.42222222222222217</v>
      </c>
      <c r="U44" s="4">
        <f t="shared" si="34"/>
        <v>5.9999999999999787</v>
      </c>
      <c r="V44" s="21">
        <f t="shared" si="33"/>
        <v>97.999999999999972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-141.42857142857019</v>
      </c>
      <c r="AF44" s="20">
        <f t="shared" si="9"/>
        <v>0.95285714285714329</v>
      </c>
      <c r="AG44" s="186"/>
    </row>
    <row r="45" spans="1:33" ht="15.75" customHeight="1">
      <c r="A45" s="183" t="s">
        <v>68</v>
      </c>
      <c r="B45" s="35" t="s">
        <v>108</v>
      </c>
      <c r="C45" s="174" t="s">
        <v>113</v>
      </c>
      <c r="D45" s="175"/>
      <c r="E45" s="35">
        <v>35.869999999999997</v>
      </c>
      <c r="F45" s="4">
        <v>3789</v>
      </c>
      <c r="G45" s="4">
        <f t="shared" si="31"/>
        <v>135911.43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2877.7215189873405</v>
      </c>
      <c r="N45" s="17">
        <f t="shared" si="3"/>
        <v>319.74683544303781</v>
      </c>
      <c r="O45" s="18">
        <f t="shared" si="4"/>
        <v>0</v>
      </c>
      <c r="P45" s="19">
        <f t="shared" si="5"/>
        <v>-13.586497890295504</v>
      </c>
      <c r="Q45" s="20">
        <f t="shared" si="6"/>
        <v>0.95924050632911351</v>
      </c>
      <c r="R45" s="186"/>
      <c r="S45" s="27">
        <v>0.42638888888888882</v>
      </c>
      <c r="T45" s="27">
        <v>0.48124999999999996</v>
      </c>
      <c r="U45" s="4">
        <f t="shared" si="34"/>
        <v>5.9999999999999787</v>
      </c>
      <c r="V45" s="21">
        <f t="shared" si="33"/>
        <v>79.000000000000043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-122.27848101265954</v>
      </c>
      <c r="AF45" s="20">
        <f t="shared" si="9"/>
        <v>0.95924050632911351</v>
      </c>
      <c r="AG45" s="186"/>
    </row>
    <row r="46" spans="1:33" ht="15.75" customHeight="1">
      <c r="A46" s="184" t="s">
        <v>68</v>
      </c>
      <c r="B46" s="35" t="s">
        <v>48</v>
      </c>
      <c r="C46" s="164"/>
      <c r="D46" s="165"/>
      <c r="E46" s="37"/>
      <c r="F46" s="4"/>
      <c r="G46" s="4"/>
      <c r="H46" s="4"/>
      <c r="I46" s="29">
        <v>9.5</v>
      </c>
      <c r="J46" s="17">
        <v>3000</v>
      </c>
      <c r="K46" s="16">
        <f t="shared" si="1"/>
        <v>315.78947368421052</v>
      </c>
      <c r="L46" s="29">
        <v>9.5</v>
      </c>
      <c r="M46" s="17">
        <f>AVERAGE(M40:M45)</f>
        <v>2873.1492625813025</v>
      </c>
      <c r="N46" s="16">
        <f t="shared" si="3"/>
        <v>302.43676448224238</v>
      </c>
      <c r="O46" s="18">
        <f t="shared" si="4"/>
        <v>0</v>
      </c>
      <c r="P46" s="19">
        <f t="shared" si="5"/>
        <v>-13.352709201968139</v>
      </c>
      <c r="Q46" s="20">
        <f t="shared" si="6"/>
        <v>0.95771642086043418</v>
      </c>
      <c r="R46" s="187"/>
      <c r="S46" s="27"/>
      <c r="T46" s="27"/>
      <c r="U46" s="4"/>
      <c r="V46" s="21"/>
      <c r="W46" s="22"/>
      <c r="X46" s="22"/>
      <c r="Y46" s="30">
        <f>SUM(Y40:Y45)</f>
        <v>0</v>
      </c>
      <c r="Z46" s="30">
        <f>SUM(Z40:Z45)</f>
        <v>0</v>
      </c>
      <c r="AA46" s="180"/>
      <c r="AB46" s="181"/>
      <c r="AC46" s="30">
        <v>6</v>
      </c>
      <c r="AD46" s="30">
        <f>SUM(AD40:AD45)</f>
        <v>0</v>
      </c>
      <c r="AE46" s="18">
        <f t="shared" si="8"/>
        <v>-126.85073741869746</v>
      </c>
      <c r="AF46" s="20">
        <f t="shared" si="9"/>
        <v>0.95771642086043418</v>
      </c>
      <c r="AG46" s="187"/>
    </row>
    <row r="47" spans="1:33" ht="15.75" customHeight="1">
      <c r="A47" s="178" t="s">
        <v>72</v>
      </c>
      <c r="B47" s="35" t="s">
        <v>84</v>
      </c>
      <c r="C47" s="163" t="s">
        <v>114</v>
      </c>
      <c r="D47" s="163"/>
      <c r="E47" s="35">
        <v>46</v>
      </c>
      <c r="F47" s="38">
        <v>1635</v>
      </c>
      <c r="G47" s="4">
        <f t="shared" ref="G47:G54" si="35">E47*F47</f>
        <v>75210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:M54" si="36">F47/V47*60</f>
        <v>1923.5294117647052</v>
      </c>
      <c r="N47" s="17">
        <f t="shared" si="3"/>
        <v>113.1487889273356</v>
      </c>
      <c r="O47" s="18">
        <f t="shared" si="4"/>
        <v>0</v>
      </c>
      <c r="P47" s="19">
        <f t="shared" si="5"/>
        <v>-4.4982698961938041</v>
      </c>
      <c r="Q47" s="20">
        <f t="shared" si="6"/>
        <v>0.96176470588235263</v>
      </c>
      <c r="R47" s="170">
        <f>Q55</f>
        <v>0.95361576037097417</v>
      </c>
      <c r="S47" s="27">
        <v>0.20833333333333334</v>
      </c>
      <c r="T47" s="27">
        <v>0.24375000000000002</v>
      </c>
      <c r="U47" s="27"/>
      <c r="V47" s="21">
        <f t="shared" ref="V47:V54" si="37">(T47-S47)*24*60</f>
        <v>51.000000000000021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-76.470588235294827</v>
      </c>
      <c r="AF47" s="20">
        <f t="shared" si="9"/>
        <v>0.96176470588235263</v>
      </c>
      <c r="AG47" s="170">
        <f>AF55</f>
        <v>0.95361576037097417</v>
      </c>
    </row>
    <row r="48" spans="1:33" ht="15.75" customHeight="1">
      <c r="A48" s="178" t="s">
        <v>785</v>
      </c>
      <c r="B48" s="35" t="s">
        <v>78</v>
      </c>
      <c r="C48" s="163" t="s">
        <v>115</v>
      </c>
      <c r="D48" s="163"/>
      <c r="E48" s="35">
        <v>56.43</v>
      </c>
      <c r="F48" s="38">
        <v>1696</v>
      </c>
      <c r="G48" s="4">
        <f t="shared" si="35"/>
        <v>95705.279999999999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 t="shared" si="36"/>
        <v>1817.1428571428571</v>
      </c>
      <c r="N48" s="17">
        <f t="shared" si="3"/>
        <v>82.597402597402592</v>
      </c>
      <c r="O48" s="18">
        <f t="shared" si="4"/>
        <v>0</v>
      </c>
      <c r="P48" s="19">
        <f t="shared" si="5"/>
        <v>-8.3116883116883145</v>
      </c>
      <c r="Q48" s="20">
        <f t="shared" si="6"/>
        <v>0.90857142857142859</v>
      </c>
      <c r="R48" s="170"/>
      <c r="S48" s="27">
        <v>0.24861111111111114</v>
      </c>
      <c r="T48" s="27">
        <v>0.28750000000000003</v>
      </c>
      <c r="U48" s="4">
        <f t="shared" ref="U48:U54" si="38">IF(S48=TIME(17,0,0),"",(S48-T47)*24*60)</f>
        <v>7.0000000000000151</v>
      </c>
      <c r="V48" s="21">
        <f t="shared" si="37"/>
        <v>56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-182.85714285714289</v>
      </c>
      <c r="AF48" s="20">
        <f t="shared" si="9"/>
        <v>0.90857142857142859</v>
      </c>
      <c r="AG48" s="170"/>
    </row>
    <row r="49" spans="1:33" ht="15.75" customHeight="1">
      <c r="A49" s="178" t="s">
        <v>72</v>
      </c>
      <c r="B49" s="35" t="s">
        <v>78</v>
      </c>
      <c r="C49" s="174" t="s">
        <v>116</v>
      </c>
      <c r="D49" s="175"/>
      <c r="E49" s="35">
        <v>51.75</v>
      </c>
      <c r="F49" s="38">
        <v>1371</v>
      </c>
      <c r="G49" s="4">
        <f t="shared" si="35"/>
        <v>70949.25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si="36"/>
        <v>1958.571428571428</v>
      </c>
      <c r="N49" s="17">
        <f t="shared" si="3"/>
        <v>78.342857142857113</v>
      </c>
      <c r="O49" s="18">
        <f t="shared" si="4"/>
        <v>0</v>
      </c>
      <c r="P49" s="19">
        <f t="shared" si="5"/>
        <v>-1.6571428571428868</v>
      </c>
      <c r="Q49" s="20">
        <f t="shared" si="6"/>
        <v>0.97928571428571387</v>
      </c>
      <c r="R49" s="170"/>
      <c r="S49" s="27">
        <v>0.29236111111111113</v>
      </c>
      <c r="T49" s="27">
        <v>0.3215277777777778</v>
      </c>
      <c r="U49" s="4">
        <f t="shared" si="38"/>
        <v>6.9999999999999751</v>
      </c>
      <c r="V49" s="21">
        <f t="shared" si="37"/>
        <v>42.000000000000014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-41.428571428572013</v>
      </c>
      <c r="AF49" s="20">
        <f t="shared" si="9"/>
        <v>0.97928571428571398</v>
      </c>
      <c r="AG49" s="170"/>
    </row>
    <row r="50" spans="1:33" ht="15.75" customHeight="1">
      <c r="A50" s="178" t="s">
        <v>785</v>
      </c>
      <c r="B50" s="35" t="s">
        <v>78</v>
      </c>
      <c r="C50" s="39" t="s">
        <v>117</v>
      </c>
      <c r="D50" s="40"/>
      <c r="E50" s="35">
        <v>54.09</v>
      </c>
      <c r="F50" s="38">
        <v>1646</v>
      </c>
      <c r="G50" s="4">
        <f t="shared" si="35"/>
        <v>89032.14</v>
      </c>
      <c r="H50" s="21" t="s">
        <v>133</v>
      </c>
      <c r="I50" s="15">
        <v>19</v>
      </c>
      <c r="J50" s="17">
        <v>2000</v>
      </c>
      <c r="K50" s="16">
        <f t="shared" si="1"/>
        <v>105.26315789473684</v>
      </c>
      <c r="L50" s="15">
        <v>19</v>
      </c>
      <c r="M50" s="17">
        <f t="shared" si="36"/>
        <v>1863.3962264150953</v>
      </c>
      <c r="N50" s="17">
        <f t="shared" si="3"/>
        <v>98.073485600794484</v>
      </c>
      <c r="O50" s="18">
        <f t="shared" si="4"/>
        <v>0</v>
      </c>
      <c r="P50" s="19">
        <f t="shared" si="5"/>
        <v>-7.1896722939423512</v>
      </c>
      <c r="Q50" s="20">
        <f t="shared" si="6"/>
        <v>0.9316981132075477</v>
      </c>
      <c r="R50" s="170"/>
      <c r="S50" s="27">
        <v>0.32500000000000001</v>
      </c>
      <c r="T50" s="27">
        <v>0.36180555555555555</v>
      </c>
      <c r="U50" s="4">
        <f t="shared" si="38"/>
        <v>4.9999999999999822</v>
      </c>
      <c r="V50" s="21">
        <f t="shared" si="37"/>
        <v>52.999999999999972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-136.60377358490473</v>
      </c>
      <c r="AF50" s="20">
        <f t="shared" si="9"/>
        <v>0.93169811320754758</v>
      </c>
      <c r="AG50" s="170"/>
    </row>
    <row r="51" spans="1:33" ht="15.75" customHeight="1">
      <c r="A51" s="178" t="s">
        <v>72</v>
      </c>
      <c r="B51" s="35" t="s">
        <v>78</v>
      </c>
      <c r="C51" s="39" t="s">
        <v>118</v>
      </c>
      <c r="D51" s="40"/>
      <c r="E51" s="35">
        <v>57.73</v>
      </c>
      <c r="F51" s="38">
        <v>1049</v>
      </c>
      <c r="G51" s="4">
        <f t="shared" si="35"/>
        <v>60558.77</v>
      </c>
      <c r="H51" s="21" t="s">
        <v>133</v>
      </c>
      <c r="I51" s="15">
        <v>16</v>
      </c>
      <c r="J51" s="17">
        <v>1500</v>
      </c>
      <c r="K51" s="16">
        <f t="shared" si="1"/>
        <v>93.75</v>
      </c>
      <c r="L51" s="15">
        <v>16</v>
      </c>
      <c r="M51" s="17">
        <f t="shared" si="36"/>
        <v>1430.4545454545455</v>
      </c>
      <c r="N51" s="17">
        <f t="shared" si="3"/>
        <v>89.403409090909093</v>
      </c>
      <c r="O51" s="18">
        <f t="shared" si="4"/>
        <v>0</v>
      </c>
      <c r="P51" s="19">
        <f t="shared" si="5"/>
        <v>-4.3465909090909065</v>
      </c>
      <c r="Q51" s="20">
        <f t="shared" si="6"/>
        <v>0.95363636363636362</v>
      </c>
      <c r="R51" s="170"/>
      <c r="S51" s="27">
        <v>0.70833333333333337</v>
      </c>
      <c r="T51" s="27">
        <v>0.73888888888888893</v>
      </c>
      <c r="U51" s="4" t="str">
        <f t="shared" si="38"/>
        <v/>
      </c>
      <c r="V51" s="21">
        <f t="shared" si="37"/>
        <v>44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-69.545454545454504</v>
      </c>
      <c r="AF51" s="20">
        <f t="shared" si="9"/>
        <v>0.95363636363636362</v>
      </c>
      <c r="AG51" s="170"/>
    </row>
    <row r="52" spans="1:33" ht="15.75" customHeight="1">
      <c r="A52" s="178" t="s">
        <v>72</v>
      </c>
      <c r="B52" s="35" t="s">
        <v>78</v>
      </c>
      <c r="C52" s="174" t="s">
        <v>119</v>
      </c>
      <c r="D52" s="175"/>
      <c r="E52" s="35">
        <v>54.29</v>
      </c>
      <c r="F52" s="38">
        <v>1227</v>
      </c>
      <c r="G52" s="4">
        <f t="shared" si="35"/>
        <v>66613.83</v>
      </c>
      <c r="H52" s="21" t="s">
        <v>133</v>
      </c>
      <c r="I52" s="15">
        <v>20</v>
      </c>
      <c r="J52" s="17">
        <v>2000</v>
      </c>
      <c r="K52" s="16">
        <f t="shared" si="1"/>
        <v>100</v>
      </c>
      <c r="L52" s="15">
        <v>20</v>
      </c>
      <c r="M52" s="17">
        <f t="shared" si="36"/>
        <v>1937.3684210526299</v>
      </c>
      <c r="N52" s="17">
        <f t="shared" si="3"/>
        <v>96.86842105263149</v>
      </c>
      <c r="O52" s="18">
        <f t="shared" si="4"/>
        <v>0</v>
      </c>
      <c r="P52" s="19">
        <f t="shared" si="5"/>
        <v>-3.1315789473685101</v>
      </c>
      <c r="Q52" s="20">
        <f t="shared" si="6"/>
        <v>0.96868421052631493</v>
      </c>
      <c r="R52" s="170"/>
      <c r="S52" s="27">
        <v>0.74375000000000002</v>
      </c>
      <c r="T52" s="27">
        <v>0.77013888888888893</v>
      </c>
      <c r="U52" s="4">
        <f t="shared" si="38"/>
        <v>6.9999999999999751</v>
      </c>
      <c r="V52" s="21">
        <f t="shared" si="37"/>
        <v>38.000000000000028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-62.631578947370144</v>
      </c>
      <c r="AF52" s="20">
        <f t="shared" si="9"/>
        <v>0.96868421052631493</v>
      </c>
      <c r="AG52" s="170"/>
    </row>
    <row r="53" spans="1:33" ht="15.75" customHeight="1">
      <c r="A53" s="178" t="s">
        <v>72</v>
      </c>
      <c r="B53" s="35" t="s">
        <v>78</v>
      </c>
      <c r="C53" s="174" t="s">
        <v>120</v>
      </c>
      <c r="D53" s="175"/>
      <c r="E53" s="35">
        <v>55.56</v>
      </c>
      <c r="F53" s="38">
        <v>1925</v>
      </c>
      <c r="G53" s="4">
        <f t="shared" si="35"/>
        <v>106953</v>
      </c>
      <c r="H53" s="21" t="s">
        <v>133</v>
      </c>
      <c r="I53" s="15">
        <v>17</v>
      </c>
      <c r="J53" s="17">
        <v>2000</v>
      </c>
      <c r="K53" s="16">
        <f t="shared" si="1"/>
        <v>117.64705882352941</v>
      </c>
      <c r="L53" s="15">
        <v>17</v>
      </c>
      <c r="M53" s="17">
        <f t="shared" si="36"/>
        <v>1925.0000000000018</v>
      </c>
      <c r="N53" s="17">
        <f t="shared" si="3"/>
        <v>113.23529411764717</v>
      </c>
      <c r="O53" s="18">
        <f t="shared" si="4"/>
        <v>0</v>
      </c>
      <c r="P53" s="19">
        <f t="shared" si="5"/>
        <v>-4.4117647058822342</v>
      </c>
      <c r="Q53" s="20">
        <f t="shared" si="6"/>
        <v>0.96250000000000102</v>
      </c>
      <c r="R53" s="170"/>
      <c r="S53" s="27">
        <v>0.77361111111111114</v>
      </c>
      <c r="T53" s="27">
        <v>0.81527777777777777</v>
      </c>
      <c r="U53" s="4">
        <f t="shared" si="38"/>
        <v>4.9999999999999822</v>
      </c>
      <c r="V53" s="21">
        <f t="shared" si="37"/>
        <v>59.999999999999943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-74.999999999998181</v>
      </c>
      <c r="AF53" s="20">
        <f t="shared" si="9"/>
        <v>0.96250000000000091</v>
      </c>
      <c r="AG53" s="170"/>
    </row>
    <row r="54" spans="1:33" ht="15.75" customHeight="1">
      <c r="A54" s="178" t="s">
        <v>72</v>
      </c>
      <c r="B54" s="35" t="s">
        <v>78</v>
      </c>
      <c r="C54" s="174" t="s">
        <v>121</v>
      </c>
      <c r="D54" s="175"/>
      <c r="E54" s="35">
        <v>55.32</v>
      </c>
      <c r="F54" s="38">
        <v>1380</v>
      </c>
      <c r="G54" s="4">
        <f t="shared" si="35"/>
        <v>76341.600000000006</v>
      </c>
      <c r="H54" s="21" t="s">
        <v>133</v>
      </c>
      <c r="I54" s="15">
        <v>15</v>
      </c>
      <c r="J54" s="17">
        <v>2000</v>
      </c>
      <c r="K54" s="16">
        <f t="shared" si="1"/>
        <v>133.33333333333334</v>
      </c>
      <c r="L54" s="15">
        <v>15</v>
      </c>
      <c r="M54" s="17">
        <f t="shared" si="36"/>
        <v>1925.5813953488368</v>
      </c>
      <c r="N54" s="17">
        <f t="shared" si="3"/>
        <v>128.37209302325579</v>
      </c>
      <c r="O54" s="18">
        <f t="shared" si="4"/>
        <v>0</v>
      </c>
      <c r="P54" s="19">
        <f t="shared" si="5"/>
        <v>-4.9612403100775566</v>
      </c>
      <c r="Q54" s="20">
        <f t="shared" si="6"/>
        <v>0.96279069767441838</v>
      </c>
      <c r="R54" s="170"/>
      <c r="S54" s="27">
        <v>0.81944444444444442</v>
      </c>
      <c r="T54" s="27">
        <v>0.84930555555555554</v>
      </c>
      <c r="U54" s="4">
        <f t="shared" si="38"/>
        <v>5.9999999999999787</v>
      </c>
      <c r="V54" s="21">
        <f t="shared" si="37"/>
        <v>43.000000000000007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-74.41860465116315</v>
      </c>
      <c r="AF54" s="20">
        <f t="shared" si="9"/>
        <v>0.96279069767441838</v>
      </c>
      <c r="AG54" s="170"/>
    </row>
    <row r="55" spans="1:33">
      <c r="A55" s="179" t="s">
        <v>72</v>
      </c>
      <c r="B55" s="35" t="s">
        <v>48</v>
      </c>
      <c r="C55" s="171"/>
      <c r="D55" s="171"/>
      <c r="E55" s="36"/>
      <c r="F55" s="16"/>
      <c r="G55" s="16"/>
      <c r="H55" s="4"/>
      <c r="I55" s="29">
        <v>18.875</v>
      </c>
      <c r="J55" s="17">
        <v>1937.5</v>
      </c>
      <c r="K55" s="16">
        <f t="shared" si="1"/>
        <v>102.64900662251655</v>
      </c>
      <c r="L55" s="29">
        <v>18.875</v>
      </c>
      <c r="M55" s="17">
        <f>AVERAGE(M47:M54)</f>
        <v>1847.6305357187625</v>
      </c>
      <c r="N55" s="16">
        <f t="shared" si="3"/>
        <v>97.887710501656287</v>
      </c>
      <c r="O55" s="18">
        <f t="shared" si="4"/>
        <v>0</v>
      </c>
      <c r="P55" s="19">
        <f t="shared" si="5"/>
        <v>-4.7612961208602655</v>
      </c>
      <c r="Q55" s="20">
        <f t="shared" si="6"/>
        <v>0.95361576037097417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v>8</v>
      </c>
      <c r="AD55" s="30">
        <f>SUM(AD47:AD54)</f>
        <v>0</v>
      </c>
      <c r="AE55" s="18">
        <f>M55-J55</f>
        <v>-89.86946428123747</v>
      </c>
      <c r="AF55" s="20">
        <f t="shared" si="9"/>
        <v>0.95361576037097417</v>
      </c>
      <c r="AG55" s="170"/>
    </row>
    <row r="56" spans="1:33" ht="15.75" customHeight="1">
      <c r="A56" s="172" t="s">
        <v>297</v>
      </c>
      <c r="B56" s="4" t="s">
        <v>84</v>
      </c>
      <c r="C56" s="163" t="s">
        <v>122</v>
      </c>
      <c r="D56" s="163"/>
      <c r="E56" s="35">
        <v>26.97</v>
      </c>
      <c r="F56" s="38">
        <v>2410</v>
      </c>
      <c r="G56" s="4">
        <f t="shared" ref="G56:G59" si="39">E56*F56</f>
        <v>64997.7</v>
      </c>
      <c r="H56" s="21" t="s">
        <v>133</v>
      </c>
      <c r="I56" s="15">
        <v>8</v>
      </c>
      <c r="J56" s="17">
        <v>1500</v>
      </c>
      <c r="K56" s="16">
        <f t="shared" si="1"/>
        <v>187.5</v>
      </c>
      <c r="L56" s="15">
        <v>8</v>
      </c>
      <c r="M56" s="17">
        <f t="shared" ref="M56:M59" si="40">F56/V56*60</f>
        <v>1431.6831683168318</v>
      </c>
      <c r="N56" s="16">
        <f t="shared" si="3"/>
        <v>178.96039603960398</v>
      </c>
      <c r="O56" s="18">
        <f t="shared" si="4"/>
        <v>0</v>
      </c>
      <c r="P56" s="19">
        <f t="shared" si="5"/>
        <v>-8.5396039603960219</v>
      </c>
      <c r="Q56" s="20">
        <f t="shared" si="6"/>
        <v>0.95445544554455453</v>
      </c>
      <c r="R56" s="170">
        <f>Q60</f>
        <v>0.95978665385335515</v>
      </c>
      <c r="S56" s="27">
        <v>0.20833333333333334</v>
      </c>
      <c r="T56" s="27">
        <v>0.27847222222222223</v>
      </c>
      <c r="U56" s="4"/>
      <c r="V56" s="21">
        <f t="shared" ref="V56:V59" si="41">(T56-S56)*24*60</f>
        <v>101</v>
      </c>
      <c r="W56" s="27"/>
      <c r="X56" s="27"/>
      <c r="Y56" s="27"/>
      <c r="Z56" s="27"/>
      <c r="AA56" s="162"/>
      <c r="AB56" s="162"/>
      <c r="AC56" s="24">
        <v>4</v>
      </c>
      <c r="AD56" s="24"/>
      <c r="AE56" s="18">
        <f t="shared" ref="AE56:AE65" si="42">M56-J56</f>
        <v>-68.316831683168175</v>
      </c>
      <c r="AF56" s="20">
        <f t="shared" si="9"/>
        <v>0.95445544554455453</v>
      </c>
      <c r="AG56" s="170">
        <f>AF60</f>
        <v>0.95978665385335515</v>
      </c>
    </row>
    <row r="57" spans="1:33" ht="15.75" customHeight="1">
      <c r="A57" s="172" t="s">
        <v>786</v>
      </c>
      <c r="B57" s="4" t="s">
        <v>108</v>
      </c>
      <c r="C57" s="163" t="s">
        <v>125</v>
      </c>
      <c r="D57" s="163"/>
      <c r="E57" s="35">
        <v>37.85</v>
      </c>
      <c r="F57" s="38">
        <v>1802</v>
      </c>
      <c r="G57" s="4">
        <f t="shared" si="39"/>
        <v>68205.7</v>
      </c>
      <c r="H57" s="21" t="s">
        <v>133</v>
      </c>
      <c r="I57" s="15">
        <v>12</v>
      </c>
      <c r="J57" s="17">
        <v>2000</v>
      </c>
      <c r="K57" s="16">
        <f t="shared" si="1"/>
        <v>166.66666666666666</v>
      </c>
      <c r="L57" s="15">
        <v>12</v>
      </c>
      <c r="M57" s="17">
        <f t="shared" si="40"/>
        <v>1930.7142857142871</v>
      </c>
      <c r="N57" s="16">
        <f t="shared" si="3"/>
        <v>160.89285714285725</v>
      </c>
      <c r="O57" s="18">
        <f t="shared" si="4"/>
        <v>0</v>
      </c>
      <c r="P57" s="19">
        <f t="shared" si="5"/>
        <v>-5.7738095238094047</v>
      </c>
      <c r="Q57" s="20">
        <f t="shared" si="6"/>
        <v>0.96535714285714358</v>
      </c>
      <c r="R57" s="170"/>
      <c r="S57" s="27">
        <v>0.28194444444444444</v>
      </c>
      <c r="T57" s="27">
        <v>0.3208333333333333</v>
      </c>
      <c r="U57" s="4">
        <f t="shared" ref="U57:U59" si="43">(S57-T56)*24*60</f>
        <v>4.9999999999999822</v>
      </c>
      <c r="V57" s="21">
        <f t="shared" si="41"/>
        <v>55.999999999999957</v>
      </c>
      <c r="W57" s="4"/>
      <c r="X57" s="4"/>
      <c r="Y57" s="4"/>
      <c r="Z57" s="4"/>
      <c r="AA57" s="162"/>
      <c r="AB57" s="162"/>
      <c r="AC57" s="24"/>
      <c r="AD57" s="24"/>
      <c r="AE57" s="18">
        <f t="shared" si="42"/>
        <v>-69.285714285712857</v>
      </c>
      <c r="AF57" s="20">
        <f t="shared" si="9"/>
        <v>0.96535714285714358</v>
      </c>
      <c r="AG57" s="170"/>
    </row>
    <row r="58" spans="1:33" ht="15.75" customHeight="1">
      <c r="A58" s="172" t="s">
        <v>786</v>
      </c>
      <c r="B58" s="4" t="s">
        <v>108</v>
      </c>
      <c r="C58" s="163" t="s">
        <v>126</v>
      </c>
      <c r="D58" s="163"/>
      <c r="E58" s="35">
        <v>34.36</v>
      </c>
      <c r="F58" s="38">
        <v>1726</v>
      </c>
      <c r="G58" s="4">
        <f t="shared" si="39"/>
        <v>59305.36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0"/>
        <v>2876.6666666666642</v>
      </c>
      <c r="N58" s="16">
        <f t="shared" si="3"/>
        <v>287.6666666666664</v>
      </c>
      <c r="O58" s="18">
        <f t="shared" si="4"/>
        <v>0</v>
      </c>
      <c r="P58" s="19">
        <f t="shared" si="5"/>
        <v>-12.333333333333599</v>
      </c>
      <c r="Q58" s="20">
        <f t="shared" si="6"/>
        <v>0.95888888888888801</v>
      </c>
      <c r="R58" s="170"/>
      <c r="S58" s="27">
        <v>0.32430555555555551</v>
      </c>
      <c r="T58" s="27">
        <v>0.34930555555555554</v>
      </c>
      <c r="U58" s="4">
        <f t="shared" si="43"/>
        <v>4.9999999999999822</v>
      </c>
      <c r="V58" s="21">
        <f t="shared" si="41"/>
        <v>36.000000000000028</v>
      </c>
      <c r="W58" s="4"/>
      <c r="X58" s="4"/>
      <c r="Y58" s="4"/>
      <c r="Z58" s="4"/>
      <c r="AA58" s="162"/>
      <c r="AB58" s="162"/>
      <c r="AC58" s="24"/>
      <c r="AD58" s="24"/>
      <c r="AE58" s="18">
        <f t="shared" si="42"/>
        <v>-123.33333333333576</v>
      </c>
      <c r="AF58" s="20">
        <f t="shared" si="9"/>
        <v>0.95888888888888812</v>
      </c>
      <c r="AG58" s="170"/>
    </row>
    <row r="59" spans="1:33" ht="15.75" customHeight="1">
      <c r="A59" s="172" t="s">
        <v>786</v>
      </c>
      <c r="B59" s="4" t="s">
        <v>108</v>
      </c>
      <c r="C59" s="163" t="s">
        <v>127</v>
      </c>
      <c r="D59" s="163"/>
      <c r="E59" s="35">
        <v>35.119999999999997</v>
      </c>
      <c r="F59" s="38">
        <v>5278</v>
      </c>
      <c r="G59" s="4">
        <f t="shared" si="39"/>
        <v>185363.36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0"/>
        <v>2878.9090909090905</v>
      </c>
      <c r="N59" s="16">
        <f t="shared" si="3"/>
        <v>287.89090909090908</v>
      </c>
      <c r="O59" s="18">
        <f t="shared" si="4"/>
        <v>0</v>
      </c>
      <c r="P59" s="19">
        <f t="shared" si="5"/>
        <v>-12.109090909090924</v>
      </c>
      <c r="Q59" s="20">
        <f t="shared" si="6"/>
        <v>0.95963636363636362</v>
      </c>
      <c r="R59" s="170"/>
      <c r="S59" s="27">
        <v>0.35277777777777775</v>
      </c>
      <c r="T59" s="27">
        <v>0.42916666666666664</v>
      </c>
      <c r="U59" s="4">
        <f t="shared" si="43"/>
        <v>4.9999999999999822</v>
      </c>
      <c r="V59" s="21">
        <f t="shared" si="41"/>
        <v>110.00000000000001</v>
      </c>
      <c r="W59" s="4"/>
      <c r="X59" s="4"/>
      <c r="Y59" s="4"/>
      <c r="Z59" s="4"/>
      <c r="AA59" s="162"/>
      <c r="AB59" s="162"/>
      <c r="AC59" s="24"/>
      <c r="AD59" s="24"/>
      <c r="AE59" s="18">
        <f t="shared" si="42"/>
        <v>-121.09090909090946</v>
      </c>
      <c r="AF59" s="20">
        <f t="shared" si="9"/>
        <v>0.95963636363636351</v>
      </c>
      <c r="AG59" s="170"/>
    </row>
    <row r="60" spans="1:33">
      <c r="A60" s="173" t="s">
        <v>297</v>
      </c>
      <c r="B60" s="35" t="s">
        <v>48</v>
      </c>
      <c r="C60" s="171"/>
      <c r="D60" s="171"/>
      <c r="E60" s="36"/>
      <c r="F60" s="16"/>
      <c r="G60" s="16"/>
      <c r="H60" s="4"/>
      <c r="I60" s="29">
        <v>10</v>
      </c>
      <c r="J60" s="17">
        <v>2375</v>
      </c>
      <c r="K60" s="16">
        <f t="shared" si="1"/>
        <v>237.5</v>
      </c>
      <c r="L60" s="29">
        <v>10</v>
      </c>
      <c r="M60" s="17">
        <f>AVERAGE(M56:M59)</f>
        <v>2279.4933029017184</v>
      </c>
      <c r="N60" s="16">
        <f t="shared" si="3"/>
        <v>227.94933029017184</v>
      </c>
      <c r="O60" s="18">
        <f t="shared" si="4"/>
        <v>0</v>
      </c>
      <c r="P60" s="19">
        <f t="shared" si="5"/>
        <v>-9.5506697098281563</v>
      </c>
      <c r="Q60" s="20">
        <f t="shared" si="6"/>
        <v>0.95978665385335515</v>
      </c>
      <c r="R60" s="170"/>
      <c r="S60" s="27"/>
      <c r="T60" s="27"/>
      <c r="U60" s="16"/>
      <c r="V60" s="21"/>
      <c r="W60" s="16"/>
      <c r="X60" s="16"/>
      <c r="Y60" s="30">
        <f>SUM(Y56:Y59)</f>
        <v>0</v>
      </c>
      <c r="Z60" s="30">
        <f>SUM(Z56:Z59)</f>
        <v>0</v>
      </c>
      <c r="AA60" s="166"/>
      <c r="AB60" s="166"/>
      <c r="AC60" s="30">
        <v>4</v>
      </c>
      <c r="AD60" s="30">
        <f>SUM(AD56:AD59)</f>
        <v>0</v>
      </c>
      <c r="AE60" s="18">
        <f t="shared" si="42"/>
        <v>-95.50669709828162</v>
      </c>
      <c r="AF60" s="20">
        <f t="shared" si="9"/>
        <v>0.95978665385335515</v>
      </c>
      <c r="AG60" s="170"/>
    </row>
    <row r="61" spans="1:33" ht="15.75" customHeight="1">
      <c r="A61" s="167" t="s">
        <v>787</v>
      </c>
      <c r="B61" s="4" t="s">
        <v>97</v>
      </c>
      <c r="C61" s="163" t="s">
        <v>128</v>
      </c>
      <c r="D61" s="163"/>
      <c r="E61" s="35">
        <v>20.2</v>
      </c>
      <c r="F61" s="4">
        <v>1646</v>
      </c>
      <c r="G61" s="4">
        <f t="shared" ref="G61:G64" si="44">E61*F61</f>
        <v>33249.199999999997</v>
      </c>
      <c r="H61" s="21" t="s">
        <v>133</v>
      </c>
      <c r="I61" s="15">
        <v>15</v>
      </c>
      <c r="J61" s="17">
        <v>2400</v>
      </c>
      <c r="K61" s="16">
        <f t="shared" si="1"/>
        <v>160</v>
      </c>
      <c r="L61" s="15">
        <v>15</v>
      </c>
      <c r="M61" s="17">
        <f t="shared" ref="M61:M64" si="45">F61/V61*60</f>
        <v>2296.7441860465115</v>
      </c>
      <c r="N61" s="16">
        <f t="shared" si="3"/>
        <v>153.11627906976744</v>
      </c>
      <c r="O61" s="18">
        <f t="shared" si="4"/>
        <v>0</v>
      </c>
      <c r="P61" s="19">
        <f t="shared" si="5"/>
        <v>-6.8837209302325562</v>
      </c>
      <c r="Q61" s="20">
        <f t="shared" si="6"/>
        <v>0.9569767441860465</v>
      </c>
      <c r="R61" s="170">
        <f>Q65</f>
        <v>0.95687449323931884</v>
      </c>
      <c r="S61" s="27">
        <v>8.3333333333333329E-2</v>
      </c>
      <c r="T61" s="27">
        <v>0.11319444444444444</v>
      </c>
      <c r="U61" s="27"/>
      <c r="V61" s="21">
        <f t="shared" ref="V61:V64" si="46">(T61-S61)*24*60</f>
        <v>43.000000000000007</v>
      </c>
      <c r="W61" s="22">
        <f>T61</f>
        <v>0.11319444444444444</v>
      </c>
      <c r="X61" s="22">
        <f>S62</f>
        <v>0.13333333333333333</v>
      </c>
      <c r="Y61" s="22"/>
      <c r="Z61" s="22"/>
      <c r="AA61" s="162"/>
      <c r="AB61" s="162"/>
      <c r="AC61" s="24">
        <v>4</v>
      </c>
      <c r="AD61" s="24"/>
      <c r="AE61" s="18">
        <f t="shared" si="42"/>
        <v>-103.25581395348854</v>
      </c>
      <c r="AF61" s="20">
        <f t="shared" si="9"/>
        <v>0.95697674418604639</v>
      </c>
      <c r="AG61" s="170">
        <f>AF65</f>
        <v>0.95687449323931884</v>
      </c>
    </row>
    <row r="62" spans="1:33" ht="15.75" customHeight="1">
      <c r="A62" s="168" t="s">
        <v>76</v>
      </c>
      <c r="B62" s="4" t="s">
        <v>97</v>
      </c>
      <c r="C62" s="163" t="s">
        <v>129</v>
      </c>
      <c r="D62" s="163"/>
      <c r="E62" s="35">
        <v>24.45</v>
      </c>
      <c r="F62" s="4">
        <v>2148</v>
      </c>
      <c r="G62" s="4">
        <f t="shared" si="44"/>
        <v>52518.6</v>
      </c>
      <c r="H62" s="21" t="s">
        <v>133</v>
      </c>
      <c r="I62" s="15">
        <v>19</v>
      </c>
      <c r="J62" s="17">
        <v>2400</v>
      </c>
      <c r="K62" s="16">
        <f t="shared" si="1"/>
        <v>126.31578947368421</v>
      </c>
      <c r="L62" s="15">
        <v>19</v>
      </c>
      <c r="M62" s="17">
        <f t="shared" si="45"/>
        <v>2301.4285714285711</v>
      </c>
      <c r="N62" s="16">
        <f t="shared" si="3"/>
        <v>121.12781954887217</v>
      </c>
      <c r="O62" s="18">
        <f t="shared" si="4"/>
        <v>0</v>
      </c>
      <c r="P62" s="19">
        <f t="shared" si="5"/>
        <v>-5.1879699248120374</v>
      </c>
      <c r="Q62" s="20">
        <f t="shared" si="6"/>
        <v>0.95892857142857135</v>
      </c>
      <c r="R62" s="170"/>
      <c r="S62" s="27">
        <v>0.13333333333333333</v>
      </c>
      <c r="T62" s="27">
        <v>0.17222222222222222</v>
      </c>
      <c r="U62" s="4">
        <f t="shared" ref="U62:U64" si="47">(S62-T61)*24*60</f>
        <v>28.999999999999996</v>
      </c>
      <c r="V62" s="21">
        <f t="shared" si="46"/>
        <v>56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2"/>
        <v>-98.571428571428896</v>
      </c>
      <c r="AF62" s="20">
        <f t="shared" si="9"/>
        <v>0.95892857142857124</v>
      </c>
      <c r="AG62" s="170"/>
    </row>
    <row r="63" spans="1:33" ht="15.75" customHeight="1">
      <c r="A63" s="168" t="s">
        <v>787</v>
      </c>
      <c r="B63" s="4" t="s">
        <v>97</v>
      </c>
      <c r="C63" s="163" t="s">
        <v>130</v>
      </c>
      <c r="D63" s="163"/>
      <c r="E63" s="35">
        <v>24.43</v>
      </c>
      <c r="F63" s="4">
        <v>5476</v>
      </c>
      <c r="G63" s="4">
        <f t="shared" si="44"/>
        <v>133778.68</v>
      </c>
      <c r="H63" s="21" t="s">
        <v>133</v>
      </c>
      <c r="I63" s="15">
        <v>14</v>
      </c>
      <c r="J63" s="17">
        <v>2400</v>
      </c>
      <c r="K63" s="16">
        <f t="shared" si="1"/>
        <v>171.42857142857142</v>
      </c>
      <c r="L63" s="15">
        <v>14</v>
      </c>
      <c r="M63" s="17">
        <f t="shared" si="45"/>
        <v>2297.6223776223774</v>
      </c>
      <c r="N63" s="16">
        <f t="shared" si="3"/>
        <v>164.11588411588409</v>
      </c>
      <c r="O63" s="18">
        <f t="shared" si="4"/>
        <v>0</v>
      </c>
      <c r="P63" s="19">
        <f t="shared" si="5"/>
        <v>-7.3126873126873306</v>
      </c>
      <c r="Q63" s="20">
        <f t="shared" si="6"/>
        <v>0.95734265734265722</v>
      </c>
      <c r="R63" s="170"/>
      <c r="S63" s="27">
        <v>0.17777777777777778</v>
      </c>
      <c r="T63" s="27">
        <v>0.27708333333333335</v>
      </c>
      <c r="U63" s="4">
        <f t="shared" si="47"/>
        <v>8.0000000000000107</v>
      </c>
      <c r="V63" s="21">
        <f t="shared" si="46"/>
        <v>143.00000000000003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2"/>
        <v>-102.37762237762263</v>
      </c>
      <c r="AF63" s="20">
        <f t="shared" si="9"/>
        <v>0.95734265734265722</v>
      </c>
      <c r="AG63" s="170"/>
    </row>
    <row r="64" spans="1:33" ht="15.75" customHeight="1">
      <c r="A64" s="168" t="s">
        <v>787</v>
      </c>
      <c r="B64" s="4" t="s">
        <v>97</v>
      </c>
      <c r="C64" s="163" t="s">
        <v>132</v>
      </c>
      <c r="D64" s="163"/>
      <c r="E64" s="35">
        <v>19.02</v>
      </c>
      <c r="F64" s="4">
        <v>7634</v>
      </c>
      <c r="G64" s="4">
        <f t="shared" si="44"/>
        <v>145198.68</v>
      </c>
      <c r="H64" s="21" t="s">
        <v>133</v>
      </c>
      <c r="I64" s="15">
        <v>14</v>
      </c>
      <c r="J64" s="17">
        <v>2400</v>
      </c>
      <c r="K64" s="16">
        <f t="shared" si="1"/>
        <v>171.42857142857142</v>
      </c>
      <c r="L64" s="15">
        <v>14</v>
      </c>
      <c r="M64" s="17">
        <f t="shared" si="45"/>
        <v>2290.2000000000003</v>
      </c>
      <c r="N64" s="16">
        <f t="shared" si="3"/>
        <v>163.58571428571432</v>
      </c>
      <c r="O64" s="18">
        <f t="shared" si="4"/>
        <v>0</v>
      </c>
      <c r="P64" s="19">
        <f t="shared" si="5"/>
        <v>-7.842857142857099</v>
      </c>
      <c r="Q64" s="20">
        <f t="shared" si="6"/>
        <v>0.95425000000000026</v>
      </c>
      <c r="R64" s="170"/>
      <c r="S64" s="27">
        <v>0.28263888888888888</v>
      </c>
      <c r="T64" s="27">
        <v>0.42152777777777778</v>
      </c>
      <c r="U64" s="4">
        <f t="shared" si="47"/>
        <v>7.9999999999999716</v>
      </c>
      <c r="V64" s="21">
        <f t="shared" si="46"/>
        <v>200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2"/>
        <v>-109.79999999999973</v>
      </c>
      <c r="AF64" s="20">
        <f t="shared" si="9"/>
        <v>0.95425000000000015</v>
      </c>
      <c r="AG64" s="170"/>
    </row>
    <row r="65" spans="1:33" ht="16.5" customHeight="1">
      <c r="A65" s="169" t="s">
        <v>76</v>
      </c>
      <c r="B65" s="35" t="s">
        <v>48</v>
      </c>
      <c r="C65" s="164"/>
      <c r="D65" s="165"/>
      <c r="E65" s="36"/>
      <c r="F65" s="16"/>
      <c r="G65" s="16"/>
      <c r="H65" s="4"/>
      <c r="I65" s="29">
        <v>15.5</v>
      </c>
      <c r="J65" s="17">
        <v>2400</v>
      </c>
      <c r="K65" s="16">
        <f t="shared" si="1"/>
        <v>154.83870967741936</v>
      </c>
      <c r="L65" s="29">
        <v>15.5</v>
      </c>
      <c r="M65" s="17">
        <f>AVERAGE(M61:M64)</f>
        <v>2296.4987837743652</v>
      </c>
      <c r="N65" s="16">
        <f t="shared" si="3"/>
        <v>148.16121185641066</v>
      </c>
      <c r="O65" s="18">
        <f t="shared" si="4"/>
        <v>0</v>
      </c>
      <c r="P65" s="19">
        <f t="shared" si="5"/>
        <v>-6.6774978210086999</v>
      </c>
      <c r="Q65" s="20">
        <f t="shared" si="6"/>
        <v>0.95687449323931884</v>
      </c>
      <c r="R65" s="170"/>
      <c r="S65" s="27"/>
      <c r="T65" s="27"/>
      <c r="U65" s="16"/>
      <c r="V65" s="21"/>
      <c r="W65" s="16"/>
      <c r="X65" s="16"/>
      <c r="Y65" s="30">
        <f>SUM(Y61:Y64)</f>
        <v>0</v>
      </c>
      <c r="Z65" s="30">
        <f>SUM(Z61:Z64)</f>
        <v>0</v>
      </c>
      <c r="AA65" s="166"/>
      <c r="AB65" s="166"/>
      <c r="AC65" s="30">
        <v>4</v>
      </c>
      <c r="AD65" s="30">
        <f>SUM(AD61:AD64)</f>
        <v>0</v>
      </c>
      <c r="AE65" s="18">
        <f t="shared" si="42"/>
        <v>-103.50121622563483</v>
      </c>
      <c r="AF65" s="20">
        <f t="shared" si="9"/>
        <v>0.95687449323931884</v>
      </c>
      <c r="AG65" s="170"/>
    </row>
    <row r="66" spans="1:33">
      <c r="D66" s="41"/>
      <c r="E66" s="41"/>
    </row>
  </sheetData>
  <mergeCells count="18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H3:H4"/>
    <mergeCell ref="I3:I4"/>
    <mergeCell ref="AC3:AD3"/>
    <mergeCell ref="C11:D11"/>
    <mergeCell ref="AA11:AB11"/>
    <mergeCell ref="C7:D7"/>
    <mergeCell ref="AA7:AB7"/>
    <mergeCell ref="C8:D8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G15:AG19"/>
    <mergeCell ref="C19:D19"/>
    <mergeCell ref="AA19:AB19"/>
    <mergeCell ref="A12:A14"/>
    <mergeCell ref="C12:D12"/>
    <mergeCell ref="R12:R14"/>
    <mergeCell ref="AA12:AB12"/>
    <mergeCell ref="AA8:AB8"/>
    <mergeCell ref="C9:D9"/>
    <mergeCell ref="AA9:AB9"/>
    <mergeCell ref="A5:A11"/>
    <mergeCell ref="C5:D5"/>
    <mergeCell ref="R5:R11"/>
    <mergeCell ref="AA5:AB5"/>
    <mergeCell ref="AG12:AG14"/>
    <mergeCell ref="C13:D13"/>
    <mergeCell ref="AA13:AB13"/>
    <mergeCell ref="C14:D14"/>
    <mergeCell ref="AA14:AB14"/>
    <mergeCell ref="AG5:AG11"/>
    <mergeCell ref="C6:D6"/>
    <mergeCell ref="AA6:AB6"/>
    <mergeCell ref="C10:D10"/>
    <mergeCell ref="AA10:AB10"/>
    <mergeCell ref="A20:A25"/>
    <mergeCell ref="C20:D20"/>
    <mergeCell ref="R20:R25"/>
    <mergeCell ref="AA20:AB20"/>
    <mergeCell ref="AA25:AB25"/>
    <mergeCell ref="C16:D16"/>
    <mergeCell ref="AA16:AB16"/>
    <mergeCell ref="C17:D17"/>
    <mergeCell ref="AA17:AB17"/>
    <mergeCell ref="C18:D18"/>
    <mergeCell ref="AA18:AB18"/>
    <mergeCell ref="A15:A19"/>
    <mergeCell ref="C15:D15"/>
    <mergeCell ref="R15:R19"/>
    <mergeCell ref="AA15:AB15"/>
    <mergeCell ref="AG20:AG25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G26:AG32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A33:A39"/>
    <mergeCell ref="C33:D33"/>
    <mergeCell ref="R33:R39"/>
    <mergeCell ref="AA33:AB33"/>
    <mergeCell ref="A40:A46"/>
    <mergeCell ref="C40:D40"/>
    <mergeCell ref="R40:R46"/>
    <mergeCell ref="AA40:AB40"/>
    <mergeCell ref="A26:A32"/>
    <mergeCell ref="C26:D26"/>
    <mergeCell ref="R26:R32"/>
    <mergeCell ref="AA26:AB26"/>
    <mergeCell ref="AG33:AG39"/>
    <mergeCell ref="C34:D34"/>
    <mergeCell ref="AA34:AB34"/>
    <mergeCell ref="C35:D35"/>
    <mergeCell ref="AA35:AB35"/>
    <mergeCell ref="C36:D36"/>
    <mergeCell ref="C38:D38"/>
    <mergeCell ref="AA38:AB38"/>
    <mergeCell ref="C39:D39"/>
    <mergeCell ref="AA39:AB39"/>
    <mergeCell ref="AA36:AB36"/>
    <mergeCell ref="C37:D37"/>
    <mergeCell ref="AA37:AB37"/>
    <mergeCell ref="AG47:AG55"/>
    <mergeCell ref="C48:D48"/>
    <mergeCell ref="AA48:AB48"/>
    <mergeCell ref="C49:D49"/>
    <mergeCell ref="AA49:AB49"/>
    <mergeCell ref="AA50:AB50"/>
    <mergeCell ref="AA43:AB43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G40:AG46"/>
    <mergeCell ref="C41:D41"/>
    <mergeCell ref="AA41:AB41"/>
    <mergeCell ref="C42:D42"/>
    <mergeCell ref="AA42:AB42"/>
    <mergeCell ref="C43:D43"/>
    <mergeCell ref="A56:A60"/>
    <mergeCell ref="C56:D56"/>
    <mergeCell ref="R56:R60"/>
    <mergeCell ref="AA56:AB56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56:AG60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A64:AB64"/>
    <mergeCell ref="C65:D65"/>
    <mergeCell ref="AA65:AB65"/>
    <mergeCell ref="A61:A65"/>
    <mergeCell ref="C61:D61"/>
    <mergeCell ref="R61:R65"/>
    <mergeCell ref="AA61:AB61"/>
    <mergeCell ref="AG61:AG65"/>
    <mergeCell ref="C62:D62"/>
    <mergeCell ref="AA62:AB62"/>
    <mergeCell ref="C63:D63"/>
    <mergeCell ref="AA63:AB63"/>
    <mergeCell ref="C64:D64"/>
  </mergeCells>
  <phoneticPr fontId="3" type="noConversion"/>
  <conditionalFormatting sqref="O5:O65">
    <cfRule type="cellIs" dxfId="62" priority="9" operator="greaterThan">
      <formula>0</formula>
    </cfRule>
  </conditionalFormatting>
  <conditionalFormatting sqref="P5:P65">
    <cfRule type="cellIs" dxfId="61" priority="1" operator="lessThan">
      <formula>0</formula>
    </cfRule>
  </conditionalFormatting>
  <conditionalFormatting sqref="Q5:Q65 AF5:AF65">
    <cfRule type="cellIs" dxfId="60" priority="10" operator="greaterThan">
      <formula>1</formula>
    </cfRule>
    <cfRule type="cellIs" dxfId="59" priority="11" operator="lessThan">
      <formula>0.8</formula>
    </cfRule>
  </conditionalFormatting>
  <conditionalFormatting sqref="R5:R12 AG5:AG12">
    <cfRule type="cellIs" dxfId="58" priority="47" operator="lessThan">
      <formula>0.8</formula>
    </cfRule>
  </conditionalFormatting>
  <conditionalFormatting sqref="AE5:AE65">
    <cfRule type="cellIs" dxfId="57" priority="12" operator="lessThan">
      <formula>0</formula>
    </cfRule>
  </conditionalFormatting>
  <conditionalFormatting sqref="AG15:AG59 R15:R65">
    <cfRule type="cellIs" dxfId="56" priority="13" operator="lessThan">
      <formula>0.8</formula>
    </cfRule>
  </conditionalFormatting>
  <dataValidations count="1">
    <dataValidation type="list" allowBlank="1" showInputMessage="1" showErrorMessage="1" sqref="AA5:AB9 AB10:AB11 AB13:AB56 AA10:AA59 AA60:AB65" xr:uid="{00000000-0002-0000-3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604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605</v>
      </c>
      <c r="C3" s="151" t="str">
        <f>TEXT('0306 4度C'!A2,"yyyy.mm.ddaaaa")</f>
        <v>2026.03.06星期五</v>
      </c>
      <c r="D3" s="152"/>
      <c r="E3" s="45" t="s">
        <v>606</v>
      </c>
      <c r="F3" s="153">
        <f>'0306 4度C'!D1</f>
        <v>129954</v>
      </c>
      <c r="G3" s="154"/>
      <c r="H3" s="45" t="s">
        <v>607</v>
      </c>
      <c r="I3" s="155">
        <f>'0306 4度C'!F1</f>
        <v>4338487.2600000007</v>
      </c>
      <c r="J3" s="156"/>
      <c r="K3" s="46"/>
      <c r="L3" s="47"/>
      <c r="M3" s="47"/>
      <c r="N3" s="47"/>
    </row>
    <row r="4" spans="2:17" ht="28.5" customHeight="1">
      <c r="B4" s="157" t="s">
        <v>608</v>
      </c>
      <c r="C4" s="143" t="s">
        <v>609</v>
      </c>
      <c r="D4" s="144"/>
      <c r="E4" s="160" t="s">
        <v>610</v>
      </c>
      <c r="F4" s="161"/>
      <c r="G4" s="160" t="s">
        <v>611</v>
      </c>
      <c r="H4" s="161"/>
      <c r="I4" s="160" t="s">
        <v>612</v>
      </c>
      <c r="J4" s="161"/>
      <c r="K4" s="141" t="s">
        <v>613</v>
      </c>
      <c r="L4" s="142"/>
      <c r="M4" s="142" t="s">
        <v>416</v>
      </c>
      <c r="N4" s="142"/>
    </row>
    <row r="5" spans="2:17" ht="28.5" customHeight="1">
      <c r="B5" s="158"/>
      <c r="C5" s="143" t="s">
        <v>614</v>
      </c>
      <c r="D5" s="144"/>
      <c r="E5" s="143" t="s">
        <v>615</v>
      </c>
      <c r="F5" s="144"/>
      <c r="G5" s="145" t="s">
        <v>616</v>
      </c>
      <c r="H5" s="146"/>
      <c r="I5" s="147" t="s">
        <v>617</v>
      </c>
      <c r="J5" s="148"/>
      <c r="K5" s="48" t="s">
        <v>618</v>
      </c>
      <c r="L5" s="49" t="s">
        <v>619</v>
      </c>
      <c r="M5" s="48" t="s">
        <v>620</v>
      </c>
      <c r="N5" s="49" t="s">
        <v>621</v>
      </c>
    </row>
    <row r="6" spans="2:17" ht="28.5" customHeight="1">
      <c r="B6" s="158"/>
      <c r="C6" s="143" t="s">
        <v>153</v>
      </c>
      <c r="D6" s="144"/>
      <c r="E6" s="135">
        <f>AVERAGE(D13:M13)</f>
        <v>149.24581945402954</v>
      </c>
      <c r="F6" s="136">
        <f>AVERAGE(D31:O31,D13:J13)</f>
        <v>152.38234417812905</v>
      </c>
      <c r="G6" s="137">
        <f>AVERAGE(D13:J13)</f>
        <v>152.38234417812905</v>
      </c>
      <c r="H6" s="138"/>
      <c r="I6" s="137">
        <f>AVERAGE(K13:M13)</f>
        <v>141.92726176446408</v>
      </c>
      <c r="J6" s="138"/>
      <c r="K6" s="139">
        <f>'0306 4度C'!Y2</f>
        <v>0</v>
      </c>
      <c r="L6" s="124">
        <f>'0306 4度C'!Z2</f>
        <v>0</v>
      </c>
      <c r="M6" s="140">
        <f>'0306 4度C'!AC2</f>
        <v>50</v>
      </c>
      <c r="N6" s="124">
        <f>'0306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143.07976284678927</v>
      </c>
      <c r="F7" s="128">
        <f>AVERAGE(D32:O32,D14:J14)</f>
        <v>146.14871643013078</v>
      </c>
      <c r="G7" s="129">
        <f>AVERAGE(D14:J14)</f>
        <v>146.14871643013078</v>
      </c>
      <c r="H7" s="130"/>
      <c r="I7" s="129">
        <f>AVERAGE(K14:M14)</f>
        <v>135.91887115232578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0.95889069131959381</v>
      </c>
      <c r="F8" s="132">
        <f>AVERAGE(D15:J15,D33:O33)</f>
        <v>0.95942897580601261</v>
      </c>
      <c r="G8" s="133">
        <f>AVERAGE(D15:J15)</f>
        <v>0.95942897580601261</v>
      </c>
      <c r="H8" s="134"/>
      <c r="I8" s="133">
        <f>AVERAGE(K15:M15)</f>
        <v>0.95763469418461644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622</v>
      </c>
      <c r="N9" s="47"/>
      <c r="O9" s="47"/>
      <c r="P9" s="47"/>
      <c r="Q9" s="47"/>
    </row>
    <row r="10" spans="2:17" ht="30" customHeight="1">
      <c r="B10" s="107" t="s">
        <v>623</v>
      </c>
      <c r="C10" s="108"/>
      <c r="D10" s="109" t="s">
        <v>624</v>
      </c>
      <c r="E10" s="110"/>
      <c r="F10" s="110"/>
      <c r="G10" s="110"/>
      <c r="H10" s="110"/>
      <c r="I10" s="110"/>
      <c r="J10" s="111"/>
      <c r="K10" s="112" t="s">
        <v>625</v>
      </c>
      <c r="L10" s="113"/>
      <c r="M10" s="114"/>
      <c r="P10" s="53"/>
      <c r="Q10" s="53"/>
    </row>
    <row r="11" spans="2:17" ht="17.25" customHeight="1">
      <c r="B11" s="115" t="s">
        <v>626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627</v>
      </c>
      <c r="C13" s="60" t="s">
        <v>628</v>
      </c>
      <c r="D13" s="61">
        <f>SUMIFS('0306 4度C'!$K:$K,'0306 4度C'!$A:$A,"新豐6線",'0306 4度C'!$B:$B,"平均")</f>
        <v>112.35955056179775</v>
      </c>
      <c r="E13" s="62">
        <f>SUMIFS('0306 4度C'!$K:$K,'0306 4度C'!$A:$A,"新豐2線",'0306 4度C'!$B:$B,"平均")</f>
        <v>83.333333333333329</v>
      </c>
      <c r="F13" s="63">
        <f>SUMIFS('0306 4度C'!$K:$K,'0306 4度C'!$A:$A,"新豐5線",'0306 4度C'!$B:$B,"平均")</f>
        <v>104.16666666666667</v>
      </c>
      <c r="G13" s="63">
        <f>SUMIFS('0306 4度C'!$K:$K,'0306 4度C'!$A:$A,"新豐7線",'0306 4度C'!$B:$B,"平均")</f>
        <v>128.37837837837839</v>
      </c>
      <c r="H13" s="63">
        <f>SUMIFS('0306 4度C'!$K:$K,'0306 4度C'!$A:$A,"新豐3線",'0306 4度C'!$B:$B,"平均")</f>
        <v>315.78947368421052</v>
      </c>
      <c r="I13" s="63">
        <f>SUMIFS('0306 4度C'!$K:$K,'0306 4度C'!$A:$A,"新豐1線",'0306 4度C'!$B:$B,"平均")</f>
        <v>102.64900662251655</v>
      </c>
      <c r="J13" s="64">
        <f>SUMIFS('0306 4度C'!$K:$K,'0306 4度C'!$A:$A,"新豐10線",'0306 4度C'!$B:$B,"平均")</f>
        <v>220</v>
      </c>
      <c r="K13" s="65">
        <f>SUMIFS('0306 4度C'!$K:$K,'0306 4度C'!$A:$A,"新豐8線",'0306 4度C'!$B:$B,"平均")</f>
        <v>134.57943925233647</v>
      </c>
      <c r="L13" s="66">
        <f>SUMIFS('0306 4度C'!$K:$K,'0306 4度C'!$A:$A,"新豐9線",'0306 4度C'!$B:$B,"平均")</f>
        <v>136.36363636363635</v>
      </c>
      <c r="M13" s="64">
        <f>SUMIFS('0306 4度C'!$K:$K,'0306 4度C'!$A:$A,"新豐4線",'0306 4度C'!$B:$B,"平均")</f>
        <v>154.83870967741936</v>
      </c>
    </row>
    <row r="14" spans="2:17" ht="39.6" customHeight="1">
      <c r="B14" s="120"/>
      <c r="C14" s="67" t="s">
        <v>629</v>
      </c>
      <c r="D14" s="68">
        <f>SUMIFS('0306 4度C'!$N:$N,'0306 4度C'!$A:$A,"新豐6線",'0306 4度C'!$B:$B,"平均")</f>
        <v>108.51674953346664</v>
      </c>
      <c r="E14" s="69">
        <f>SUMIFS('0306 4度C'!$N:$N,'0306 4度C'!$A:$A,"新豐2線",'0306 4度C'!$B:$B,"平均")</f>
        <v>79.751810634163604</v>
      </c>
      <c r="F14" s="69">
        <f>SUMIFS('0306 4度C'!$N:$N,'0306 4度C'!$A:$A,"新豐5線",'0306 4度C'!$B:$B,"平均")</f>
        <v>100.21158248275457</v>
      </c>
      <c r="G14" s="69">
        <f>SUMIFS('0306 4度C'!$N:$N,'0306 4度C'!$A:$A,"新豐7線",'0306 4度C'!$B:$B,"平均")</f>
        <v>123.41334703033966</v>
      </c>
      <c r="H14" s="69">
        <f>SUMIFS('0306 4度C'!$N:$N,'0306 4度C'!$A:$A,"新豐3線",'0306 4度C'!$B:$B,"平均")</f>
        <v>302.88750715397191</v>
      </c>
      <c r="I14" s="69">
        <f>SUMIFS('0306 4度C'!$N:$N,'0306 4度C'!$A:$A,"新豐1線",'0306 4度C'!$B:$B,"平均")</f>
        <v>98.047150361852601</v>
      </c>
      <c r="J14" s="70">
        <f>SUMIFS('0306 4度C'!$N:$N,'0306 4度C'!$A:$A,"新豐10線",'0306 4度C'!$B:$B,"平均")</f>
        <v>210.21286781436643</v>
      </c>
      <c r="K14" s="71">
        <f>SUMIFS('0306 4度C'!$N:$N,'0306 4度C'!$A:$A,"新豐8線",'0306 4度C'!$B:$B,"平均")</f>
        <v>128.93852430072383</v>
      </c>
      <c r="L14" s="72">
        <f>SUMIFS('0306 4度C'!$N:$N,'0306 4度C'!$A:$A,"新豐9線",'0306 4度C'!$B:$B,"平均")</f>
        <v>130.42177754495245</v>
      </c>
      <c r="M14" s="70">
        <f>SUMIFS('0306 4度C'!$N:$N,'0306 4度C'!$A:$A,"新豐4線",'0306 4度C'!$B:$B,"平均")</f>
        <v>148.39631161130106</v>
      </c>
    </row>
    <row r="15" spans="2:17" ht="40.15" customHeight="1">
      <c r="B15" s="121"/>
      <c r="C15" s="73" t="s">
        <v>630</v>
      </c>
      <c r="D15" s="74">
        <f t="shared" ref="D15:M15" si="0">D14/D13</f>
        <v>0.9657990708478531</v>
      </c>
      <c r="E15" s="75">
        <f t="shared" si="0"/>
        <v>0.95702172760996329</v>
      </c>
      <c r="F15" s="75">
        <f t="shared" si="0"/>
        <v>0.96203119183444374</v>
      </c>
      <c r="G15" s="75">
        <f t="shared" si="0"/>
        <v>0.96132501897317202</v>
      </c>
      <c r="H15" s="75">
        <f t="shared" si="0"/>
        <v>0.95914377265424444</v>
      </c>
      <c r="I15" s="75">
        <f t="shared" si="0"/>
        <v>0.95516901320256409</v>
      </c>
      <c r="J15" s="76">
        <f t="shared" si="0"/>
        <v>0.95551303551984745</v>
      </c>
      <c r="K15" s="74">
        <f t="shared" si="0"/>
        <v>0.95808486806787829</v>
      </c>
      <c r="L15" s="75">
        <f t="shared" si="0"/>
        <v>0.95642636866298469</v>
      </c>
      <c r="M15" s="76">
        <f t="shared" si="0"/>
        <v>0.95839284582298601</v>
      </c>
    </row>
    <row r="16" spans="2:17" ht="17.25" customHeight="1">
      <c r="B16" s="122" t="s">
        <v>631</v>
      </c>
      <c r="C16" s="77" t="s">
        <v>632</v>
      </c>
      <c r="D16" s="78">
        <f>VLOOKUP("新豐6線",'0306 4度C'!$A:$T,19,0)</f>
        <v>0.70833333333333337</v>
      </c>
      <c r="E16" s="79">
        <f>VLOOKUP("新豐2線",'0306 4度C'!$A:$T,19,0)</f>
        <v>0.20833333333333334</v>
      </c>
      <c r="F16" s="79">
        <f>VLOOKUP("新豐5線",'0306 4度C'!$A:$T,19,0)</f>
        <v>0.20833333333333334</v>
      </c>
      <c r="G16" s="79">
        <f>VLOOKUP("新豐7線",'0306 4度C'!$A:$T,19,0)</f>
        <v>0.20833333333333334</v>
      </c>
      <c r="H16" s="79">
        <f>VLOOKUP("新豐3線",'0306 4度C'!$A:$T,19,0)</f>
        <v>8.3333333333333329E-2</v>
      </c>
      <c r="I16" s="79">
        <f>VLOOKUP("新豐1線",'0306 4度C'!$A:$T,19,0)</f>
        <v>0.20833333333333334</v>
      </c>
      <c r="J16" s="80">
        <f>VLOOKUP("新豐10線",'0306 4度C'!$A:$T,19,0)</f>
        <v>0.20833333333333334</v>
      </c>
      <c r="K16" s="81">
        <f>VLOOKUP("新豐8線",'0306 4度C'!$A:$T,19,0)</f>
        <v>8.3333333333333329E-2</v>
      </c>
      <c r="L16" s="82">
        <f>VLOOKUP("新豐9線",'0306 4度C'!$A:$T,19,0)</f>
        <v>8.3333333333333329E-2</v>
      </c>
      <c r="M16" s="83">
        <f>VLOOKUP("新豐4線",'0306 4度C'!$A:$T,19,0)</f>
        <v>8.3333333333333329E-2</v>
      </c>
    </row>
    <row r="17" spans="2:13" ht="17.25" customHeight="1">
      <c r="B17" s="123"/>
      <c r="C17" s="77" t="s">
        <v>633</v>
      </c>
      <c r="D17" s="81">
        <f>LOOKUP(2,1/(('0306 4度C'!$A:$A="新豐6線")*('0306 4度C'!$T:$T&lt;&gt;"")),'0306 4度C'!$T:$T)</f>
        <v>0.81388888888888877</v>
      </c>
      <c r="E17" s="79">
        <f>LOOKUP(2,1/(('0306 4度C'!$A:$A="新豐2線")*('0306 4度C'!$T:$T&lt;&gt;"")),'0306 4度C'!$T:$T)</f>
        <v>0.42083333333333328</v>
      </c>
      <c r="F17" s="79">
        <f>LOOKUP(2,1/(('0306 4度C'!$A:$A="新豐5線")*('0306 4度C'!$T:$T&lt;&gt;"")),'0306 4度C'!$T:$T)</f>
        <v>0.83958333333333335</v>
      </c>
      <c r="G17" s="79">
        <f>LOOKUP(2,1/(('0306 4度C'!$A:$A="新豐7線")*('0306 4度C'!$T:$T&lt;&gt;"")),'0306 4度C'!$T:$T)</f>
        <v>0.83749999999999991</v>
      </c>
      <c r="H17" s="79">
        <f>LOOKUP(2,1/(('0306 4度C'!$A:$A="新豐3線")*('0306 4度C'!$T:$T&lt;&gt;"")),'0306 4度C'!$T:$T)</f>
        <v>0.4458333333333333</v>
      </c>
      <c r="I17" s="79">
        <f>LOOKUP(2,1/(('0306 4度C'!$A:$A="新豐1線")*('0306 4度C'!$T:$T&lt;&gt;"")),'0306 4度C'!$T:$T)</f>
        <v>0.84236111111111112</v>
      </c>
      <c r="J17" s="80">
        <f>LOOKUP(2,1/(('0306 4度C'!$A:$A="新豐10線")*('0306 4度C'!$T:$T&lt;&gt;"")),'0306 4度C'!$T:$T)</f>
        <v>0.42708333333333326</v>
      </c>
      <c r="K17" s="78">
        <f>LOOKUP(2,1/(('0306 4度C'!$A:$A="新豐8線")*('0306 4度C'!$T:$T&lt;&gt;"")),'0306 4度C'!$T:$T)</f>
        <v>0.49652777777777779</v>
      </c>
      <c r="L17" s="79">
        <f>LOOKUP(2,1/(('0306 4度C'!$A:$A="新豐9線")*('0306 4度C'!$T:$T&lt;&gt;"")),'0306 4度C'!$T:$T)</f>
        <v>0.50069444444444444</v>
      </c>
      <c r="M17" s="80">
        <f>LOOKUP(2,1/(('0306 4度C'!$A:$A="新豐4線")*('0306 4度C'!$T:$T&lt;&gt;"")),'0306 4度C'!$T:$T)</f>
        <v>0.41319444444444442</v>
      </c>
    </row>
    <row r="18" spans="2:13" ht="17.25" customHeight="1">
      <c r="B18" s="101" t="s">
        <v>634</v>
      </c>
      <c r="C18" s="84" t="s">
        <v>635</v>
      </c>
      <c r="D18" s="85">
        <f>SUMIFS('0306 4度C'!$Y:$Y,'0306 4度C'!$A:$A,"新豐6線",'0306 4度C'!$B:$B,"平均")</f>
        <v>0</v>
      </c>
      <c r="E18" s="86">
        <f>SUMIFS('0306 4度C'!$Y:$Y,'0306 4度C'!$A:$A,"新豐2線",'0306 4度C'!$B:$B,"平均")</f>
        <v>0</v>
      </c>
      <c r="F18" s="86">
        <f>SUMIFS('0306 4度C'!$Y:$Y,'0306 4度C'!$A:$A,"新豐5線",'0306 4度C'!$B:$B,"平均")</f>
        <v>0</v>
      </c>
      <c r="G18" s="86">
        <f>SUMIFS('0306 4度C'!$Y:$Y,'0306 4度C'!$A:$A,"新豐7線",'0306 4度C'!$B:$B,"平均")</f>
        <v>0</v>
      </c>
      <c r="H18" s="86">
        <f>SUMIFS('0306 4度C'!$Y:$Y,'0306 4度C'!$A:$A,"新豐3線",'0306 4度C'!$B:$B,"平均")</f>
        <v>0</v>
      </c>
      <c r="I18" s="86">
        <f>SUMIFS('0306 4度C'!$Y:$Y,'0306 4度C'!$A:$A,"新豐1線",'0306 4度C'!$B:$B,"平均")</f>
        <v>0</v>
      </c>
      <c r="J18" s="87">
        <f>SUMIFS('0306 4度C'!$Y:$Y,'0306 4度C'!$A:$A,"新豐10線",'0306 4度C'!$B:$B,"平均")</f>
        <v>0</v>
      </c>
      <c r="K18" s="88">
        <f>SUMIFS('0306 4度C'!$Y:$Y,'0306 4度C'!$A:$A,"新豐8線",'0306 4度C'!$B:$B,"平均")</f>
        <v>0</v>
      </c>
      <c r="L18" s="86">
        <f>SUMIFS('0306 4度C'!$Y:$Y,'0306 4度C'!$A:$A,"新豐9線",'0306 4度C'!$B:$B,"平均")</f>
        <v>0</v>
      </c>
      <c r="M18" s="87">
        <f>SUMIFS('0306 4度C'!$Y:$Y,'0306 4度C'!$A:$A,"新豐4線",'0306 4度C'!$B:$B,"平均")</f>
        <v>0</v>
      </c>
    </row>
    <row r="19" spans="2:13" ht="17.25" customHeight="1">
      <c r="B19" s="102"/>
      <c r="C19" s="84" t="s">
        <v>636</v>
      </c>
      <c r="D19" s="85">
        <f>SUMIFS('0306 4度C'!$Z:$Z,'0306 4度C'!$A:$A,"新豐6線",'0306 4度C'!$B:$B,"平均")</f>
        <v>0</v>
      </c>
      <c r="E19" s="86">
        <f>SUMIFS('0306 4度C'!$Z:$Z,'0306 4度C'!$A:$A,"新豐2線",'0306 4度C'!$B:$B,"平均")</f>
        <v>0</v>
      </c>
      <c r="F19" s="86">
        <f>SUMIFS('0306 4度C'!$Z:$Z,'0306 4度C'!$A:$A,"新豐5線",'0306 4度C'!$B:$B,"平均")</f>
        <v>0</v>
      </c>
      <c r="G19" s="86">
        <f>SUMIFS('0306 4度C'!$Z:$Z,'0306 4度C'!$A:$A,"新豐7線",'0306 4度C'!$B:$B,"平均")</f>
        <v>0</v>
      </c>
      <c r="H19" s="86">
        <f>SUMIFS('0306 4度C'!$Z:$Z,'0306 4度C'!$A:$A,"新豐3線",'0306 4度C'!$B:$B,"平均")</f>
        <v>0</v>
      </c>
      <c r="I19" s="86">
        <f>SUMIFS('0306 4度C'!$Z:$Z,'0306 4度C'!$A:$A,"新豐1線",'0306 4度C'!$B:$B,"平均")</f>
        <v>0</v>
      </c>
      <c r="J19" s="87">
        <f>SUMIFS('0306 4度C'!$Z:$Z,'0306 4度C'!$A:$A,"新豐10線",'0306 4度C'!$B:$B,"平均")</f>
        <v>0</v>
      </c>
      <c r="K19" s="88">
        <f>SUMIFS('0306 4度C'!$Z:$Z,'0306 4度C'!$A:$A,"新豐8線",'0306 4度C'!$B:$B,"平均")</f>
        <v>0</v>
      </c>
      <c r="L19" s="86">
        <f>SUMIFS('0306 4度C'!$Z:$Z,'0306 4度C'!$A:$A,"新豐9線",'0306 4度C'!$B:$B,"平均")</f>
        <v>0</v>
      </c>
      <c r="M19" s="87">
        <f>SUMIFS('0306 4度C'!$Z:$Z,'0306 4度C'!$A:$A,"新豐4線",'0306 4度C'!$B:$B,"平均")</f>
        <v>0</v>
      </c>
    </row>
    <row r="20" spans="2:13" ht="17.25" customHeight="1">
      <c r="B20" s="101" t="s">
        <v>637</v>
      </c>
      <c r="C20" s="84" t="s">
        <v>635</v>
      </c>
      <c r="D20" s="85">
        <f>SUMIFS('0306 4度C'!$AC:$AC,'0306 4度C'!$A:$A,"新豐6線",'0306 4度C'!$B:$B,"平均")</f>
        <v>5</v>
      </c>
      <c r="E20" s="86">
        <f>SUMIFS('0306 4度C'!$AC:$AC,'0306 4度C'!$A:$A,"新豐2線",'0306 4度C'!$B:$B,"平均")</f>
        <v>2</v>
      </c>
      <c r="F20" s="86">
        <f>SUMIFS('0306 4度C'!$AC:$AC,'0306 4度C'!$A:$A,"新豐5線",'0306 4度C'!$B:$B,"平均")</f>
        <v>4</v>
      </c>
      <c r="G20" s="86">
        <f>SUMIFS('0306 4度C'!$AC:$AC,'0306 4度C'!$A:$A,"新豐7線",'0306 4度C'!$B:$B,"平均")</f>
        <v>5</v>
      </c>
      <c r="H20" s="86">
        <f>SUMIFS('0306 4度C'!$AC:$AC,'0306 4度C'!$A:$A,"新豐3線",'0306 4度C'!$B:$B,"平均")</f>
        <v>6</v>
      </c>
      <c r="I20" s="86">
        <f>SUMIFS('0306 4度C'!$AC:$AC,'0306 4度C'!$A:$A,"新豐1線",'0306 4度C'!$B:$B,"平均")</f>
        <v>8</v>
      </c>
      <c r="J20" s="87">
        <f>SUMIFS('0306 4度C'!$AC:$AC,'0306 4度C'!$A:$A,"新豐10線",'0306 4度C'!$B:$B,"平均")</f>
        <v>5</v>
      </c>
      <c r="K20" s="88">
        <f>SUMIFS('0306 4度C'!$AC:$AC,'0306 4度C'!$A:$A,"新豐8線",'0306 4度C'!$B:$B,"平均")</f>
        <v>6</v>
      </c>
      <c r="L20" s="86">
        <f>SUMIFS('0306 4度C'!$AC:$AC,'0306 4度C'!$A:$A,"新豐9線",'0306 4度C'!$B:$B,"平均")</f>
        <v>5</v>
      </c>
      <c r="M20" s="87">
        <f>SUMIFS('0306 4度C'!$AC:$AC,'0306 4度C'!$A:$A,"新豐4線",'0306 4度C'!$B:$B,"平均")</f>
        <v>4</v>
      </c>
    </row>
    <row r="21" spans="2:13" ht="17.25" customHeight="1">
      <c r="B21" s="102"/>
      <c r="C21" s="84" t="s">
        <v>638</v>
      </c>
      <c r="D21" s="85">
        <f>SUMIFS('0306 4度C'!$AD:$AD,'0306 4度C'!$A:$A,"新豐6線",'0306 4度C'!$B:$B,"平均")</f>
        <v>0</v>
      </c>
      <c r="E21" s="86">
        <f>SUMIFS('0306 4度C'!$AD:$AD,'0306 4度C'!$A:$A,"新豐2線",'0306 4度C'!$B:$B,"平均")</f>
        <v>0</v>
      </c>
      <c r="F21" s="86">
        <f>SUMIFS('0306 4度C'!$AD:$AD,'0306 4度C'!$A:$A,"新豐5線",'0306 4度C'!$B:$B,"平均")</f>
        <v>0</v>
      </c>
      <c r="G21" s="86">
        <f>SUMIFS('0306 4度C'!$AD:$AD,'0306 4度C'!$A:$A,"新豐7線",'0306 4度C'!$B:$B,"平均")</f>
        <v>0</v>
      </c>
      <c r="H21" s="86">
        <f>SUMIFS('0306 4度C'!$AD:$AD,'0306 4度C'!$A:$A,"新豐3線",'0306 4度C'!$B:$B,"平均")</f>
        <v>0</v>
      </c>
      <c r="I21" s="86">
        <f>SUMIFS('0306 4度C'!$AD:$AD,'0306 4度C'!$A:$A,"新豐1線",'0306 4度C'!$B:$B,"平均")</f>
        <v>0</v>
      </c>
      <c r="J21" s="87">
        <f>SUMIFS('0306 4度C'!$AD:$AD,'0306 4度C'!$A:$A,"新豐10線",'0306 4度C'!$B:$B,"平均")</f>
        <v>0</v>
      </c>
      <c r="K21" s="88">
        <f>SUMIFS('0306 4度C'!$AD:$AD,'0306 4度C'!$A:$A,"新豐8線",'0306 4度C'!$B:$B,"平均")</f>
        <v>0</v>
      </c>
      <c r="L21" s="86">
        <f>SUMIFS('0306 4度C'!$AD:$AD,'0306 4度C'!$A:$A,"新豐9線",'0306 4度C'!$B:$B,"平均")</f>
        <v>0</v>
      </c>
      <c r="M21" s="87">
        <f>SUMIFS('0306 4度C'!$AD:$AD,'0306 4度C'!$A:$A,"新豐4線",'0306 4度C'!$B:$B,"平均")</f>
        <v>0</v>
      </c>
    </row>
    <row r="22" spans="2:13" ht="17.25" customHeight="1">
      <c r="B22" s="103" t="s">
        <v>639</v>
      </c>
      <c r="C22" s="104"/>
      <c r="D22" s="89">
        <f>SUMIFS('0306 4度C'!$I:$I,'0306 4度C'!$A:$A,"新豐6線",'0306 4度C'!$B:$B,"平均")</f>
        <v>17.8</v>
      </c>
      <c r="E22" s="90">
        <f>SUMIFS('0306 4度C'!$I:$I,'0306 4度C'!$A:$A,"新豐2線",'0306 4度C'!$B:$B,"平均")</f>
        <v>18</v>
      </c>
      <c r="F22" s="90">
        <f>SUMIFS('0306 4度C'!$I:$I,'0306 4度C'!$A:$A,"新豐5線",'0306 4度C'!$B:$B,"平均")</f>
        <v>18</v>
      </c>
      <c r="G22" s="90">
        <f>SUMIFS('0306 4度C'!$I:$I,'0306 4度C'!$A:$A,"新豐7線",'0306 4度C'!$B:$B,"平均")</f>
        <v>14.8</v>
      </c>
      <c r="H22" s="90">
        <f>SUMIFS('0306 4度C'!$I:$I,'0306 4度C'!$A:$A,"新豐3線",'0306 4度C'!$B:$B,"平均")</f>
        <v>9.5</v>
      </c>
      <c r="I22" s="90">
        <f>SUMIFS('0306 4度C'!$I:$I,'0306 4度C'!$A:$A,"新豐1線",'0306 4度C'!$B:$B,"平均")</f>
        <v>18.875</v>
      </c>
      <c r="J22" s="91">
        <f>SUMIFS('0306 4度C'!$I:$I,'0306 4度C'!$A:$A,"新豐10線",'0306 4度C'!$B:$B,"平均")</f>
        <v>10</v>
      </c>
      <c r="K22" s="89">
        <f>SUMIFS('0306 4度C'!$I:$I,'0306 4度C'!$A:$A,"新豐8線",'0306 4度C'!$B:$B,"平均")</f>
        <v>17.833333333333332</v>
      </c>
      <c r="L22" s="90">
        <f>SUMIFS('0306 4度C'!$I:$I,'0306 4度C'!$A:$A,"新豐9線",'0306 4度C'!$B:$B,"平均")</f>
        <v>17.600000000000001</v>
      </c>
      <c r="M22" s="91">
        <f>SUMIFS('0306 4度C'!$I:$I,'0306 4度C'!$A:$A,"新豐4線",'0306 4度C'!$B:$B,"平均")</f>
        <v>15.5</v>
      </c>
    </row>
    <row r="23" spans="2:13" ht="17.25" customHeight="1">
      <c r="B23" s="103" t="s">
        <v>640</v>
      </c>
      <c r="C23" s="104"/>
      <c r="D23" s="92" t="s">
        <v>185</v>
      </c>
      <c r="E23" s="93" t="s">
        <v>186</v>
      </c>
      <c r="F23" s="93" t="s">
        <v>641</v>
      </c>
      <c r="G23" s="93" t="s">
        <v>641</v>
      </c>
      <c r="H23" s="93" t="s">
        <v>188</v>
      </c>
      <c r="I23" s="93" t="s">
        <v>185</v>
      </c>
      <c r="J23" s="94" t="s">
        <v>188</v>
      </c>
      <c r="K23" s="92" t="s">
        <v>642</v>
      </c>
      <c r="L23" s="93" t="s">
        <v>642</v>
      </c>
      <c r="M23" s="94" t="s">
        <v>642</v>
      </c>
    </row>
    <row r="24" spans="2:13" ht="17.25" customHeight="1">
      <c r="B24" s="103" t="s">
        <v>643</v>
      </c>
      <c r="C24" s="104"/>
      <c r="D24" s="92"/>
      <c r="E24" s="93"/>
      <c r="F24" s="93" t="s">
        <v>644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645</v>
      </c>
      <c r="C25" s="106"/>
      <c r="D25" s="95"/>
      <c r="E25" s="96" t="s">
        <v>646</v>
      </c>
      <c r="F25" s="99" t="s">
        <v>647</v>
      </c>
      <c r="G25" s="100"/>
      <c r="H25" s="96" t="s">
        <v>648</v>
      </c>
      <c r="I25" s="96" t="s">
        <v>649</v>
      </c>
      <c r="J25" s="97" t="s">
        <v>648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activeCell="A12" sqref="A12"/>
      <selection pane="bottomLeft" activeCell="A11" sqref="A11:A1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650</v>
      </c>
      <c r="B1" s="1"/>
      <c r="C1" s="2" t="s">
        <v>651</v>
      </c>
      <c r="D1" s="3">
        <f>SUM(F5:F64)</f>
        <v>129954</v>
      </c>
      <c r="E1" s="4" t="s">
        <v>2</v>
      </c>
      <c r="F1" s="1">
        <f>SUM(G5:G64)</f>
        <v>4338487.2600000007</v>
      </c>
      <c r="G1" s="1" t="s">
        <v>652</v>
      </c>
      <c r="H1" s="5">
        <v>157.90833333333333</v>
      </c>
      <c r="I1" s="212" t="s">
        <v>653</v>
      </c>
      <c r="J1" s="212"/>
      <c r="K1" s="212"/>
      <c r="L1" s="212" t="s">
        <v>654</v>
      </c>
      <c r="M1" s="212"/>
      <c r="N1" s="212"/>
      <c r="O1" s="212" t="s">
        <v>655</v>
      </c>
      <c r="P1" s="212"/>
      <c r="Q1" s="212"/>
      <c r="R1" s="212"/>
      <c r="S1" s="212" t="s">
        <v>656</v>
      </c>
      <c r="T1" s="212"/>
      <c r="U1" s="212"/>
      <c r="V1" s="212"/>
      <c r="W1" s="212"/>
      <c r="X1" s="212"/>
      <c r="Y1" s="6" t="s">
        <v>657</v>
      </c>
      <c r="Z1" s="7" t="s">
        <v>658</v>
      </c>
      <c r="AA1" s="213" t="s">
        <v>659</v>
      </c>
      <c r="AB1" s="213"/>
      <c r="AC1" s="42" t="s">
        <v>660</v>
      </c>
      <c r="AD1" s="7" t="s">
        <v>661</v>
      </c>
      <c r="AE1" s="212" t="s">
        <v>662</v>
      </c>
      <c r="AF1" s="214"/>
      <c r="AG1" s="214"/>
    </row>
    <row r="2" spans="1:33" ht="26.25" customHeight="1">
      <c r="A2" s="33">
        <v>46087</v>
      </c>
      <c r="B2" s="34" t="s">
        <v>663</v>
      </c>
      <c r="C2" s="2" t="s">
        <v>664</v>
      </c>
      <c r="D2" s="9">
        <f>AVERAGE(N10,N13,N44,N53,N18,N59,N24,N31,N37,N64)</f>
        <v>143.07976284678927</v>
      </c>
      <c r="E2" s="10" t="s">
        <v>14</v>
      </c>
      <c r="F2" s="11">
        <f>F1/D1</f>
        <v>33.384792003324257</v>
      </c>
      <c r="G2" s="1" t="s">
        <v>665</v>
      </c>
      <c r="H2" s="12">
        <v>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SUM(Y10+Y13+Y18+Y24+Y31+Y37+Y44+Y53+Y59+Y64)</f>
        <v>0</v>
      </c>
      <c r="Z2" s="13">
        <f>SUM(Z10+Z13+Z18+Z24+Z31+Z37+Z44+Z53+Z59+Z64)</f>
        <v>0</v>
      </c>
      <c r="AA2" s="213"/>
      <c r="AB2" s="213"/>
      <c r="AC2" s="13">
        <v>50</v>
      </c>
      <c r="AD2" s="13">
        <f>SUM(AD10+AD13+AD18+AD24+AD31+AD37+AD44+AD53+AD59+AD64)</f>
        <v>0</v>
      </c>
      <c r="AE2" s="214"/>
      <c r="AF2" s="214"/>
      <c r="AG2" s="214"/>
    </row>
    <row r="3" spans="1:33" ht="40.5" customHeight="1">
      <c r="A3" s="162" t="s">
        <v>666</v>
      </c>
      <c r="B3" s="162" t="s">
        <v>667</v>
      </c>
      <c r="C3" s="162" t="s">
        <v>668</v>
      </c>
      <c r="D3" s="162"/>
      <c r="E3" s="210" t="s">
        <v>669</v>
      </c>
      <c r="F3" s="162" t="s">
        <v>670</v>
      </c>
      <c r="G3" s="210" t="s">
        <v>671</v>
      </c>
      <c r="H3" s="204" t="s">
        <v>672</v>
      </c>
      <c r="I3" s="202" t="s">
        <v>673</v>
      </c>
      <c r="J3" s="199" t="s">
        <v>674</v>
      </c>
      <c r="K3" s="209" t="s">
        <v>675</v>
      </c>
      <c r="L3" s="202" t="s">
        <v>673</v>
      </c>
      <c r="M3" s="199" t="s">
        <v>674</v>
      </c>
      <c r="N3" s="209" t="s">
        <v>664</v>
      </c>
      <c r="O3" s="202" t="s">
        <v>673</v>
      </c>
      <c r="P3" s="209" t="s">
        <v>675</v>
      </c>
      <c r="Q3" s="200" t="s">
        <v>676</v>
      </c>
      <c r="R3" s="178" t="s">
        <v>677</v>
      </c>
      <c r="S3" s="162" t="s">
        <v>27</v>
      </c>
      <c r="T3" s="162"/>
      <c r="U3" s="204" t="s">
        <v>28</v>
      </c>
      <c r="V3" s="204" t="s">
        <v>678</v>
      </c>
      <c r="W3" s="162" t="s">
        <v>679</v>
      </c>
      <c r="X3" s="162"/>
      <c r="Y3" s="205" t="s">
        <v>680</v>
      </c>
      <c r="Z3" s="166"/>
      <c r="AA3" s="206" t="s">
        <v>681</v>
      </c>
      <c r="AB3" s="207"/>
      <c r="AC3" s="205" t="s">
        <v>682</v>
      </c>
      <c r="AD3" s="166"/>
      <c r="AE3" s="199" t="s">
        <v>683</v>
      </c>
      <c r="AF3" s="200" t="s">
        <v>684</v>
      </c>
      <c r="AG3" s="178" t="s">
        <v>685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686</v>
      </c>
      <c r="X4" s="4" t="s">
        <v>687</v>
      </c>
      <c r="Y4" s="14" t="s">
        <v>688</v>
      </c>
      <c r="Z4" s="14" t="s">
        <v>689</v>
      </c>
      <c r="AA4" s="208"/>
      <c r="AB4" s="207"/>
      <c r="AC4" s="14" t="s">
        <v>690</v>
      </c>
      <c r="AD4" s="14" t="s">
        <v>691</v>
      </c>
      <c r="AE4" s="199"/>
      <c r="AF4" s="200"/>
      <c r="AG4" s="178"/>
    </row>
    <row r="5" spans="1:33">
      <c r="A5" s="201" t="s">
        <v>692</v>
      </c>
      <c r="B5" s="35" t="s">
        <v>78</v>
      </c>
      <c r="C5" s="203" t="s">
        <v>79</v>
      </c>
      <c r="D5" s="203"/>
      <c r="E5" s="35">
        <v>50.67</v>
      </c>
      <c r="F5" s="4">
        <v>1309</v>
      </c>
      <c r="G5" s="4">
        <f t="shared" ref="G5:G9" si="0">E5*F5</f>
        <v>66327.03</v>
      </c>
      <c r="H5" s="21" t="s">
        <v>133</v>
      </c>
      <c r="I5" s="15">
        <v>17</v>
      </c>
      <c r="J5" s="17">
        <v>2000</v>
      </c>
      <c r="K5" s="16">
        <f t="shared" ref="K5:K64" si="1">J5/I5</f>
        <v>117.64705882352941</v>
      </c>
      <c r="L5" s="15">
        <v>17</v>
      </c>
      <c r="M5" s="17">
        <f t="shared" ref="M5:M9" si="2">F5/V5*60</f>
        <v>1915.6097560975602</v>
      </c>
      <c r="N5" s="16">
        <f t="shared" ref="N5:N64" si="3">M5/L5</f>
        <v>112.68292682926824</v>
      </c>
      <c r="O5" s="18">
        <f t="shared" ref="O5:O64" si="4">L5-I5</f>
        <v>0</v>
      </c>
      <c r="P5" s="19">
        <f t="shared" ref="P5:P64" si="5">N5-K5</f>
        <v>-4.9641319942611659</v>
      </c>
      <c r="Q5" s="20">
        <f t="shared" ref="Q5:Q64" si="6">N5/K5</f>
        <v>0.95780487804878012</v>
      </c>
      <c r="R5" s="170">
        <f>Q10</f>
        <v>0.9657990708478531</v>
      </c>
      <c r="S5" s="27">
        <v>0.70833333333333337</v>
      </c>
      <c r="T5" s="27">
        <v>0.7368055555555556</v>
      </c>
      <c r="U5" s="4"/>
      <c r="V5" s="21">
        <f t="shared" ref="V5:V9" si="7">(T5-S5)*24*60</f>
        <v>41.000000000000014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52" si="8">M5-J5</f>
        <v>-84.390243902439806</v>
      </c>
      <c r="AF5" s="20">
        <f t="shared" ref="AF5:AF64" si="9">M5/J5</f>
        <v>0.95780487804878012</v>
      </c>
      <c r="AG5" s="170">
        <f>AF10</f>
        <v>0.96579907084785321</v>
      </c>
    </row>
    <row r="6" spans="1:33">
      <c r="A6" s="202" t="s">
        <v>46</v>
      </c>
      <c r="B6" s="35" t="s">
        <v>78</v>
      </c>
      <c r="C6" s="203" t="s">
        <v>80</v>
      </c>
      <c r="D6" s="203"/>
      <c r="E6" s="35">
        <v>54.09</v>
      </c>
      <c r="F6" s="4">
        <v>1162</v>
      </c>
      <c r="G6" s="4">
        <f t="shared" si="0"/>
        <v>62852.58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1936.6666666666649</v>
      </c>
      <c r="N6" s="16">
        <f t="shared" si="3"/>
        <v>101.92982456140342</v>
      </c>
      <c r="O6" s="18">
        <f t="shared" si="4"/>
        <v>0</v>
      </c>
      <c r="P6" s="19">
        <f t="shared" si="5"/>
        <v>-3.3333333333334139</v>
      </c>
      <c r="Q6" s="20">
        <f t="shared" si="6"/>
        <v>0.9683333333333326</v>
      </c>
      <c r="R6" s="170"/>
      <c r="S6" s="27">
        <v>0.74097222222222225</v>
      </c>
      <c r="T6" s="27">
        <v>0.76597222222222228</v>
      </c>
      <c r="U6" s="4">
        <f t="shared" ref="U6:U9" si="10">IF(S6=TIME(17,0,0),"",(S6-T5)*24*60)</f>
        <v>5.9999999999999787</v>
      </c>
      <c r="V6" s="21">
        <f t="shared" si="7"/>
        <v>36.000000000000028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-63.333333333335077</v>
      </c>
      <c r="AF6" s="20">
        <f t="shared" si="9"/>
        <v>0.96833333333333249</v>
      </c>
      <c r="AG6" s="170"/>
    </row>
    <row r="7" spans="1:33">
      <c r="A7" s="202" t="s">
        <v>693</v>
      </c>
      <c r="B7" s="35" t="s">
        <v>78</v>
      </c>
      <c r="C7" s="197" t="s">
        <v>81</v>
      </c>
      <c r="D7" s="198"/>
      <c r="E7" s="35">
        <v>50.29</v>
      </c>
      <c r="F7" s="4">
        <v>453</v>
      </c>
      <c r="G7" s="4">
        <f t="shared" si="0"/>
        <v>22781.37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1941.4285714285784</v>
      </c>
      <c r="N7" s="16">
        <f t="shared" si="3"/>
        <v>121.33928571428615</v>
      </c>
      <c r="O7" s="18">
        <f t="shared" si="4"/>
        <v>0</v>
      </c>
      <c r="P7" s="19">
        <f t="shared" si="5"/>
        <v>-3.6607142857138513</v>
      </c>
      <c r="Q7" s="20">
        <f t="shared" si="6"/>
        <v>0.97071428571428919</v>
      </c>
      <c r="R7" s="170"/>
      <c r="S7" s="27">
        <v>0.76944444444444449</v>
      </c>
      <c r="T7" s="27">
        <v>0.77916666666666667</v>
      </c>
      <c r="U7" s="4">
        <f t="shared" si="10"/>
        <v>4.9999999999999822</v>
      </c>
      <c r="V7" s="21">
        <f t="shared" si="7"/>
        <v>13.99999999999995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-58.57142857142162</v>
      </c>
      <c r="AF7" s="20">
        <f t="shared" si="9"/>
        <v>0.97071428571428919</v>
      </c>
      <c r="AG7" s="170"/>
    </row>
    <row r="8" spans="1:33">
      <c r="A8" s="202" t="s">
        <v>693</v>
      </c>
      <c r="B8" s="35" t="s">
        <v>78</v>
      </c>
      <c r="C8" s="197" t="s">
        <v>82</v>
      </c>
      <c r="D8" s="198"/>
      <c r="E8" s="35">
        <v>50.67</v>
      </c>
      <c r="F8" s="4">
        <v>453</v>
      </c>
      <c r="G8" s="4">
        <f t="shared" si="0"/>
        <v>22953.510000000002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1941.4285714285784</v>
      </c>
      <c r="N8" s="16">
        <f t="shared" si="3"/>
        <v>92.448979591837059</v>
      </c>
      <c r="O8" s="18">
        <f t="shared" si="4"/>
        <v>0</v>
      </c>
      <c r="P8" s="19">
        <f t="shared" si="5"/>
        <v>-2.7891156462581819</v>
      </c>
      <c r="Q8" s="20">
        <f t="shared" si="6"/>
        <v>0.97071428571428908</v>
      </c>
      <c r="R8" s="170"/>
      <c r="S8" s="27">
        <v>0.78402777777777777</v>
      </c>
      <c r="T8" s="27">
        <v>0.79374999999999996</v>
      </c>
      <c r="U8" s="4">
        <f t="shared" si="10"/>
        <v>6.9999999999999751</v>
      </c>
      <c r="V8" s="21">
        <f t="shared" si="7"/>
        <v>13.99999999999995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-58.57142857142162</v>
      </c>
      <c r="AF8" s="20">
        <f t="shared" si="9"/>
        <v>0.97071428571428919</v>
      </c>
      <c r="AG8" s="170"/>
    </row>
    <row r="9" spans="1:33">
      <c r="A9" s="202" t="s">
        <v>693</v>
      </c>
      <c r="B9" s="35" t="s">
        <v>78</v>
      </c>
      <c r="C9" s="197" t="s">
        <v>83</v>
      </c>
      <c r="D9" s="198"/>
      <c r="E9" s="35">
        <v>50.67</v>
      </c>
      <c r="F9" s="4">
        <v>673</v>
      </c>
      <c r="G9" s="4">
        <f t="shared" si="0"/>
        <v>34100.910000000003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1922.8571428571499</v>
      </c>
      <c r="N9" s="16">
        <f t="shared" si="3"/>
        <v>120.17857142857187</v>
      </c>
      <c r="O9" s="18">
        <f t="shared" si="4"/>
        <v>0</v>
      </c>
      <c r="P9" s="19">
        <f t="shared" si="5"/>
        <v>-4.8214285714281289</v>
      </c>
      <c r="Q9" s="20">
        <f t="shared" si="6"/>
        <v>0.96142857142857496</v>
      </c>
      <c r="R9" s="170"/>
      <c r="S9" s="27">
        <v>0.79930555555555549</v>
      </c>
      <c r="T9" s="27">
        <v>0.81388888888888877</v>
      </c>
      <c r="U9" s="4">
        <f t="shared" si="10"/>
        <v>7.9999999999999716</v>
      </c>
      <c r="V9" s="21">
        <f t="shared" si="7"/>
        <v>20.999999999999925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-77.142857142850062</v>
      </c>
      <c r="AF9" s="20">
        <f t="shared" si="9"/>
        <v>0.96142857142857496</v>
      </c>
      <c r="AG9" s="170"/>
    </row>
    <row r="10" spans="1:33">
      <c r="A10" s="202" t="s">
        <v>46</v>
      </c>
      <c r="B10" s="35" t="s">
        <v>694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1931.5981416957063</v>
      </c>
      <c r="N10" s="16">
        <f t="shared" si="3"/>
        <v>108.51674953346664</v>
      </c>
      <c r="O10" s="18">
        <f t="shared" si="4"/>
        <v>0</v>
      </c>
      <c r="P10" s="19">
        <f t="shared" si="5"/>
        <v>-3.8428010283311096</v>
      </c>
      <c r="Q10" s="20">
        <f t="shared" si="6"/>
        <v>0.9657990708478531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-68.401858304293683</v>
      </c>
      <c r="AF10" s="20">
        <f t="shared" si="9"/>
        <v>0.96579907084785321</v>
      </c>
      <c r="AG10" s="170"/>
    </row>
    <row r="11" spans="1:33" ht="15.75" customHeight="1">
      <c r="A11" s="196" t="s">
        <v>695</v>
      </c>
      <c r="B11" s="35" t="s">
        <v>84</v>
      </c>
      <c r="C11" s="197" t="s">
        <v>85</v>
      </c>
      <c r="D11" s="198"/>
      <c r="E11" s="35">
        <v>39.619999999999997</v>
      </c>
      <c r="F11" s="4">
        <v>2654</v>
      </c>
      <c r="G11" s="4">
        <f t="shared" ref="G11:G12" si="11">E11*F11</f>
        <v>105151.48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1434.594594594595</v>
      </c>
      <c r="N11" s="16">
        <f t="shared" si="3"/>
        <v>75.504978662873427</v>
      </c>
      <c r="O11" s="18">
        <f t="shared" si="4"/>
        <v>0</v>
      </c>
      <c r="P11" s="19">
        <f t="shared" si="5"/>
        <v>-3.4423897581792033</v>
      </c>
      <c r="Q11" s="20">
        <f t="shared" si="6"/>
        <v>0.95639639639639673</v>
      </c>
      <c r="R11" s="170">
        <f>Q13</f>
        <v>0.95702172760996329</v>
      </c>
      <c r="S11" s="27">
        <v>0.20833333333333334</v>
      </c>
      <c r="T11" s="27">
        <v>0.28541666666666665</v>
      </c>
      <c r="U11" s="4"/>
      <c r="V11" s="21">
        <f t="shared" ref="V11:V12" si="13">(T11-S11)*24*60</f>
        <v>110.99999999999997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-65.405405405404963</v>
      </c>
      <c r="AF11" s="20">
        <f t="shared" si="9"/>
        <v>0.95639639639639673</v>
      </c>
      <c r="AG11" s="170">
        <f>AF13</f>
        <v>0.95702172760996318</v>
      </c>
    </row>
    <row r="12" spans="1:33" ht="15.75" customHeight="1">
      <c r="A12" s="196" t="s">
        <v>695</v>
      </c>
      <c r="B12" s="35" t="s">
        <v>84</v>
      </c>
      <c r="C12" s="197" t="s">
        <v>86</v>
      </c>
      <c r="D12" s="198"/>
      <c r="E12" s="35">
        <v>39.799999999999997</v>
      </c>
      <c r="F12" s="4">
        <v>4477</v>
      </c>
      <c r="G12" s="4">
        <f t="shared" si="11"/>
        <v>178184.59999999998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1436.4705882352944</v>
      </c>
      <c r="N12" s="16">
        <f t="shared" si="3"/>
        <v>84.49826989619379</v>
      </c>
      <c r="O12" s="18">
        <f t="shared" si="4"/>
        <v>0</v>
      </c>
      <c r="P12" s="19">
        <f t="shared" si="5"/>
        <v>-3.7370242214532681</v>
      </c>
      <c r="Q12" s="20">
        <f t="shared" si="6"/>
        <v>0.95764705882352963</v>
      </c>
      <c r="R12" s="170"/>
      <c r="S12" s="27">
        <v>0.29097222222222219</v>
      </c>
      <c r="T12" s="27">
        <v>0.42083333333333328</v>
      </c>
      <c r="U12" s="4">
        <f t="shared" ref="U12" si="14">IF(S12=TIME(17,0,0),"",(S12-T11)*24*60)</f>
        <v>7.9999999999999716</v>
      </c>
      <c r="V12" s="21">
        <f t="shared" si="13"/>
        <v>186.99999999999997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-63.529411764705628</v>
      </c>
      <c r="AF12" s="20">
        <f t="shared" si="9"/>
        <v>0.95764705882352963</v>
      </c>
      <c r="AG12" s="170"/>
    </row>
    <row r="13" spans="1:33" ht="16.5" customHeight="1">
      <c r="A13" s="196" t="s">
        <v>695</v>
      </c>
      <c r="B13" s="35" t="s">
        <v>694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1435.5325914149448</v>
      </c>
      <c r="N13" s="16">
        <f t="shared" si="3"/>
        <v>79.751810634163604</v>
      </c>
      <c r="O13" s="18">
        <f t="shared" si="4"/>
        <v>0</v>
      </c>
      <c r="P13" s="19">
        <f t="shared" si="5"/>
        <v>-3.5815226991697244</v>
      </c>
      <c r="Q13" s="20">
        <f t="shared" si="6"/>
        <v>0.95702172760996329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v>2</v>
      </c>
      <c r="AD13" s="30">
        <f>SUM(AD11:AD12)</f>
        <v>0</v>
      </c>
      <c r="AE13" s="18">
        <f t="shared" si="8"/>
        <v>-64.467408585055182</v>
      </c>
      <c r="AF13" s="20">
        <f t="shared" si="9"/>
        <v>0.95702172760996318</v>
      </c>
      <c r="AG13" s="170"/>
    </row>
    <row r="14" spans="1:33" ht="16.5" customHeight="1">
      <c r="A14" s="194" t="s">
        <v>696</v>
      </c>
      <c r="B14" s="4" t="s">
        <v>87</v>
      </c>
      <c r="C14" s="190" t="s">
        <v>88</v>
      </c>
      <c r="D14" s="190"/>
      <c r="E14" s="35">
        <v>41</v>
      </c>
      <c r="F14" s="4">
        <v>2460</v>
      </c>
      <c r="G14" s="4">
        <f t="shared" ref="G14:G17" si="15">E14*F14</f>
        <v>100860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1433.009708737864</v>
      </c>
      <c r="N14" s="16">
        <f t="shared" si="3"/>
        <v>55.115758028379382</v>
      </c>
      <c r="O14" s="18">
        <f t="shared" si="4"/>
        <v>0</v>
      </c>
      <c r="P14" s="19">
        <f t="shared" si="5"/>
        <v>-2.5765496639283114</v>
      </c>
      <c r="Q14" s="20">
        <f t="shared" si="6"/>
        <v>0.95533980582524258</v>
      </c>
      <c r="R14" s="170">
        <f>Q18</f>
        <v>0.96203119183444374</v>
      </c>
      <c r="S14" s="27">
        <v>0.20833333333333334</v>
      </c>
      <c r="T14" s="27">
        <v>0.27986111111111112</v>
      </c>
      <c r="U14" s="4"/>
      <c r="V14" s="21">
        <f t="shared" ref="V14:V17" si="17">(T14-S14)*24*60</f>
        <v>103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-66.990291262135997</v>
      </c>
      <c r="AF14" s="20">
        <f t="shared" si="9"/>
        <v>0.95533980582524269</v>
      </c>
      <c r="AG14" s="170">
        <f>AF18</f>
        <v>0.96203119183444386</v>
      </c>
    </row>
    <row r="15" spans="1:33" ht="16.5" customHeight="1">
      <c r="A15" s="195" t="s">
        <v>696</v>
      </c>
      <c r="B15" s="4" t="s">
        <v>78</v>
      </c>
      <c r="C15" s="190" t="s">
        <v>89</v>
      </c>
      <c r="D15" s="190"/>
      <c r="E15" s="35">
        <v>50.98</v>
      </c>
      <c r="F15" s="4">
        <v>2148</v>
      </c>
      <c r="G15" s="4">
        <f t="shared" si="15"/>
        <v>109505.04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1923.5820895522363</v>
      </c>
      <c r="N15" s="16">
        <f t="shared" si="3"/>
        <v>120.22388059701477</v>
      </c>
      <c r="O15" s="18">
        <f t="shared" si="4"/>
        <v>0</v>
      </c>
      <c r="P15" s="19">
        <f t="shared" si="5"/>
        <v>-4.7761194029852305</v>
      </c>
      <c r="Q15" s="20">
        <f t="shared" si="6"/>
        <v>0.96179104477611821</v>
      </c>
      <c r="R15" s="170"/>
      <c r="S15" s="27">
        <v>0.70833333333333337</v>
      </c>
      <c r="T15" s="27">
        <v>0.7548611111111112</v>
      </c>
      <c r="U15" s="4" t="str">
        <f t="shared" ref="U15:U17" si="18">IF(S15=TIME(17,0,0),"",(S15-T14)*24*60)</f>
        <v/>
      </c>
      <c r="V15" s="21">
        <f t="shared" si="17"/>
        <v>67.000000000000085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-76.417910447763688</v>
      </c>
      <c r="AF15" s="20">
        <f t="shared" si="9"/>
        <v>0.96179104477611821</v>
      </c>
      <c r="AG15" s="170"/>
    </row>
    <row r="16" spans="1:33" ht="16.5" customHeight="1">
      <c r="A16" s="195" t="s">
        <v>696</v>
      </c>
      <c r="B16" s="4" t="s">
        <v>78</v>
      </c>
      <c r="C16" s="190" t="s">
        <v>90</v>
      </c>
      <c r="D16" s="190"/>
      <c r="E16" s="35">
        <v>50.92</v>
      </c>
      <c r="F16" s="4">
        <v>2079</v>
      </c>
      <c r="G16" s="4">
        <f t="shared" si="15"/>
        <v>105862.68000000001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1919.0769230769251</v>
      </c>
      <c r="N16" s="16">
        <f t="shared" si="3"/>
        <v>127.93846153846168</v>
      </c>
      <c r="O16" s="18">
        <f t="shared" si="4"/>
        <v>0</v>
      </c>
      <c r="P16" s="19">
        <f t="shared" si="5"/>
        <v>-5.394871794871662</v>
      </c>
      <c r="Q16" s="20">
        <f t="shared" si="6"/>
        <v>0.95953846153846256</v>
      </c>
      <c r="R16" s="170"/>
      <c r="S16" s="27">
        <v>0.75902777777777786</v>
      </c>
      <c r="T16" s="27">
        <v>0.8041666666666667</v>
      </c>
      <c r="U16" s="4">
        <f t="shared" si="18"/>
        <v>5.9999999999999787</v>
      </c>
      <c r="V16" s="21">
        <f t="shared" si="17"/>
        <v>64.999999999999929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-80.923076923074859</v>
      </c>
      <c r="AF16" s="20">
        <f t="shared" si="9"/>
        <v>0.95953846153846256</v>
      </c>
      <c r="AG16" s="170"/>
    </row>
    <row r="17" spans="1:33" ht="16.5" customHeight="1">
      <c r="A17" s="195" t="s">
        <v>50</v>
      </c>
      <c r="B17" s="4" t="s">
        <v>78</v>
      </c>
      <c r="C17" s="190" t="s">
        <v>91</v>
      </c>
      <c r="D17" s="190"/>
      <c r="E17" s="35">
        <v>50.67</v>
      </c>
      <c r="F17" s="4">
        <v>1487</v>
      </c>
      <c r="G17" s="4">
        <f t="shared" si="15"/>
        <v>75346.290000000008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1939.5652173913045</v>
      </c>
      <c r="N17" s="16">
        <f t="shared" si="3"/>
        <v>129.30434782608697</v>
      </c>
      <c r="O17" s="18">
        <f t="shared" si="4"/>
        <v>0</v>
      </c>
      <c r="P17" s="19">
        <f t="shared" si="5"/>
        <v>-4.0289855072463752</v>
      </c>
      <c r="Q17" s="20">
        <f t="shared" si="6"/>
        <v>0.96978260869565214</v>
      </c>
      <c r="R17" s="170"/>
      <c r="S17" s="27">
        <v>0.80763888888888891</v>
      </c>
      <c r="T17" s="27">
        <v>0.83958333333333335</v>
      </c>
      <c r="U17" s="4">
        <f t="shared" si="18"/>
        <v>4.9999999999999822</v>
      </c>
      <c r="V17" s="21">
        <f t="shared" si="17"/>
        <v>46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-60.434782608695514</v>
      </c>
      <c r="AF17" s="20">
        <f t="shared" si="9"/>
        <v>0.96978260869565225</v>
      </c>
      <c r="AG17" s="170"/>
    </row>
    <row r="18" spans="1:33" ht="16.5" customHeight="1">
      <c r="A18" s="195" t="s">
        <v>50</v>
      </c>
      <c r="B18" s="35" t="s">
        <v>48</v>
      </c>
      <c r="C18" s="171"/>
      <c r="D18" s="171"/>
      <c r="E18" s="36"/>
      <c r="F18" s="16"/>
      <c r="G18" s="16"/>
      <c r="H18" s="4"/>
      <c r="I18" s="29">
        <v>18</v>
      </c>
      <c r="J18" s="17">
        <v>1875</v>
      </c>
      <c r="K18" s="16">
        <f t="shared" si="1"/>
        <v>104.16666666666667</v>
      </c>
      <c r="L18" s="29">
        <v>18</v>
      </c>
      <c r="M18" s="17">
        <f>AVERAGE(M14:M17)</f>
        <v>1803.8084846895822</v>
      </c>
      <c r="N18" s="16">
        <f t="shared" si="3"/>
        <v>100.21158248275457</v>
      </c>
      <c r="O18" s="18">
        <f t="shared" si="4"/>
        <v>0</v>
      </c>
      <c r="P18" s="19">
        <f t="shared" si="5"/>
        <v>-3.9550841839121063</v>
      </c>
      <c r="Q18" s="20">
        <f t="shared" si="6"/>
        <v>0.96203119183444374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v>4</v>
      </c>
      <c r="AD18" s="30">
        <f>SUM(AD14:AD17)</f>
        <v>0</v>
      </c>
      <c r="AE18" s="18">
        <f t="shared" si="8"/>
        <v>-71.191515310417799</v>
      </c>
      <c r="AF18" s="20">
        <f t="shared" si="9"/>
        <v>0.96203119183444386</v>
      </c>
      <c r="AG18" s="170"/>
    </row>
    <row r="19" spans="1:33" ht="15.75" customHeight="1">
      <c r="A19" s="192" t="s">
        <v>697</v>
      </c>
      <c r="B19" s="35" t="s">
        <v>78</v>
      </c>
      <c r="C19" s="190" t="s">
        <v>92</v>
      </c>
      <c r="D19" s="190"/>
      <c r="E19" s="35">
        <v>57.73</v>
      </c>
      <c r="F19" s="4">
        <v>2321</v>
      </c>
      <c r="G19" s="4">
        <f t="shared" ref="G19:G23" si="19">E19*F19</f>
        <v>133991.32999999999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3" si="20">F19/V19*60</f>
        <v>1907.6712328767121</v>
      </c>
      <c r="N19" s="16">
        <f t="shared" si="3"/>
        <v>136.26223091976516</v>
      </c>
      <c r="O19" s="18">
        <f t="shared" si="4"/>
        <v>0</v>
      </c>
      <c r="P19" s="19">
        <f t="shared" si="5"/>
        <v>-6.5949119373777023</v>
      </c>
      <c r="Q19" s="20">
        <f t="shared" si="6"/>
        <v>0.95383561643835613</v>
      </c>
      <c r="R19" s="170">
        <f>Q24</f>
        <v>0.96132501897317202</v>
      </c>
      <c r="S19" s="27">
        <v>0.20833333333333334</v>
      </c>
      <c r="T19" s="27">
        <v>0.2590277777777778</v>
      </c>
      <c r="U19" s="4"/>
      <c r="V19" s="21">
        <f t="shared" ref="V19:V23" si="21">(T19-S19)*24*60</f>
        <v>73.000000000000014</v>
      </c>
      <c r="W19" s="27"/>
      <c r="X19" s="27"/>
      <c r="Y19" s="27"/>
      <c r="Z19" s="27"/>
      <c r="AA19" s="162"/>
      <c r="AB19" s="162"/>
      <c r="AC19" s="24">
        <v>5</v>
      </c>
      <c r="AD19" s="24"/>
      <c r="AE19" s="18">
        <f t="shared" si="8"/>
        <v>-92.328767123287889</v>
      </c>
      <c r="AF19" s="20">
        <f t="shared" si="9"/>
        <v>0.95383561643835602</v>
      </c>
      <c r="AG19" s="170">
        <f>AF24</f>
        <v>0.96132501897317213</v>
      </c>
    </row>
    <row r="20" spans="1:33" ht="15.75" customHeight="1">
      <c r="A20" s="193" t="s">
        <v>697</v>
      </c>
      <c r="B20" s="35" t="s">
        <v>78</v>
      </c>
      <c r="C20" s="190" t="s">
        <v>93</v>
      </c>
      <c r="D20" s="190"/>
      <c r="E20" s="35">
        <v>53.68</v>
      </c>
      <c r="F20" s="4">
        <v>1231</v>
      </c>
      <c r="G20" s="4">
        <f t="shared" si="19"/>
        <v>66080.08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1943.6842105263142</v>
      </c>
      <c r="N20" s="16">
        <f t="shared" si="3"/>
        <v>121.48026315789464</v>
      </c>
      <c r="O20" s="18">
        <f t="shared" si="4"/>
        <v>0</v>
      </c>
      <c r="P20" s="19">
        <f t="shared" si="5"/>
        <v>-3.5197368421053596</v>
      </c>
      <c r="Q20" s="20">
        <f t="shared" si="6"/>
        <v>0.97184210526315717</v>
      </c>
      <c r="R20" s="170"/>
      <c r="S20" s="27">
        <v>0.26458333333333334</v>
      </c>
      <c r="T20" s="27">
        <v>0.29097222222222224</v>
      </c>
      <c r="U20" s="4">
        <f t="shared" ref="U20:U23" si="22">IF(S20=TIME(17,0,0),"",(S20-T19)*24*60)</f>
        <v>7.9999999999999716</v>
      </c>
      <c r="V20" s="21">
        <f t="shared" si="21"/>
        <v>38.000000000000028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-56.315789473685754</v>
      </c>
      <c r="AF20" s="20">
        <f t="shared" si="9"/>
        <v>0.97184210526315717</v>
      </c>
      <c r="AG20" s="170"/>
    </row>
    <row r="21" spans="1:33" ht="15.75" customHeight="1">
      <c r="A21" s="193" t="s">
        <v>52</v>
      </c>
      <c r="B21" s="35" t="s">
        <v>78</v>
      </c>
      <c r="C21" s="190" t="s">
        <v>94</v>
      </c>
      <c r="D21" s="190"/>
      <c r="E21" s="35">
        <v>50.49</v>
      </c>
      <c r="F21" s="4">
        <v>1822</v>
      </c>
      <c r="G21" s="4">
        <f t="shared" si="19"/>
        <v>91992.78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1917.8947368421068</v>
      </c>
      <c r="N21" s="16">
        <f t="shared" si="3"/>
        <v>127.85964912280711</v>
      </c>
      <c r="O21" s="18">
        <f t="shared" si="4"/>
        <v>0</v>
      </c>
      <c r="P21" s="19">
        <f t="shared" si="5"/>
        <v>-5.4736842105262298</v>
      </c>
      <c r="Q21" s="20">
        <f t="shared" si="6"/>
        <v>0.95894736842105333</v>
      </c>
      <c r="R21" s="170"/>
      <c r="S21" s="27">
        <v>0.70833333333333337</v>
      </c>
      <c r="T21" s="27">
        <v>0.74791666666666667</v>
      </c>
      <c r="U21" s="4" t="str">
        <f t="shared" si="22"/>
        <v/>
      </c>
      <c r="V21" s="21">
        <f t="shared" si="21"/>
        <v>56.999999999999957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-82.105263157893205</v>
      </c>
      <c r="AF21" s="20">
        <f t="shared" si="9"/>
        <v>0.95894736842105344</v>
      </c>
      <c r="AG21" s="170"/>
    </row>
    <row r="22" spans="1:33" ht="15.75" customHeight="1">
      <c r="A22" s="193" t="s">
        <v>52</v>
      </c>
      <c r="B22" s="35" t="s">
        <v>78</v>
      </c>
      <c r="C22" s="190" t="s">
        <v>95</v>
      </c>
      <c r="D22" s="190"/>
      <c r="E22" s="35">
        <v>53.68</v>
      </c>
      <c r="F22" s="4">
        <v>1537</v>
      </c>
      <c r="G22" s="4">
        <f t="shared" si="19"/>
        <v>82506.16</v>
      </c>
      <c r="H22" s="21" t="s">
        <v>133</v>
      </c>
      <c r="I22" s="15">
        <v>16</v>
      </c>
      <c r="J22" s="17">
        <v>1500</v>
      </c>
      <c r="K22" s="16">
        <f t="shared" si="1"/>
        <v>93.75</v>
      </c>
      <c r="L22" s="15">
        <v>16</v>
      </c>
      <c r="M22" s="17">
        <f t="shared" si="20"/>
        <v>1440.9375000000018</v>
      </c>
      <c r="N22" s="16">
        <f t="shared" si="3"/>
        <v>90.058593750000114</v>
      </c>
      <c r="O22" s="18">
        <f t="shared" si="4"/>
        <v>0</v>
      </c>
      <c r="P22" s="19">
        <f t="shared" si="5"/>
        <v>-3.6914062499998863</v>
      </c>
      <c r="Q22" s="20">
        <f t="shared" si="6"/>
        <v>0.96062500000000117</v>
      </c>
      <c r="R22" s="170"/>
      <c r="S22" s="27">
        <v>0.75347222222222221</v>
      </c>
      <c r="T22" s="27">
        <v>0.79791666666666661</v>
      </c>
      <c r="U22" s="4">
        <f t="shared" si="22"/>
        <v>7.9999999999999716</v>
      </c>
      <c r="V22" s="21">
        <f t="shared" si="21"/>
        <v>63.999999999999929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-59.062499999998181</v>
      </c>
      <c r="AF22" s="20">
        <f t="shared" si="9"/>
        <v>0.96062500000000117</v>
      </c>
      <c r="AG22" s="170"/>
    </row>
    <row r="23" spans="1:33" ht="15.75" customHeight="1">
      <c r="A23" s="193" t="s">
        <v>52</v>
      </c>
      <c r="B23" s="35" t="s">
        <v>78</v>
      </c>
      <c r="C23" s="190" t="s">
        <v>96</v>
      </c>
      <c r="D23" s="190"/>
      <c r="E23" s="35">
        <v>57.3</v>
      </c>
      <c r="F23" s="4">
        <v>1602</v>
      </c>
      <c r="G23" s="4">
        <f t="shared" si="19"/>
        <v>91794.599999999991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1922.4000000000003</v>
      </c>
      <c r="N23" s="16">
        <f t="shared" si="3"/>
        <v>147.87692307692311</v>
      </c>
      <c r="O23" s="18">
        <f t="shared" si="4"/>
        <v>0</v>
      </c>
      <c r="P23" s="19">
        <f t="shared" si="5"/>
        <v>-5.9692307692307338</v>
      </c>
      <c r="Q23" s="20">
        <f t="shared" si="6"/>
        <v>0.96120000000000028</v>
      </c>
      <c r="R23" s="170"/>
      <c r="S23" s="27">
        <v>0.8027777777777777</v>
      </c>
      <c r="T23" s="27">
        <v>0.83749999999999991</v>
      </c>
      <c r="U23" s="4">
        <f t="shared" si="22"/>
        <v>6.9999999999999751</v>
      </c>
      <c r="V23" s="21">
        <f t="shared" si="21"/>
        <v>49.999999999999986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-77.599999999999682</v>
      </c>
      <c r="AF23" s="20">
        <f t="shared" si="9"/>
        <v>0.96120000000000017</v>
      </c>
      <c r="AG23" s="170"/>
    </row>
    <row r="24" spans="1:33" ht="15.75" customHeight="1">
      <c r="A24" s="193" t="s">
        <v>52</v>
      </c>
      <c r="B24" s="35" t="s">
        <v>48</v>
      </c>
      <c r="C24" s="171"/>
      <c r="D24" s="171"/>
      <c r="E24" s="36"/>
      <c r="F24" s="4"/>
      <c r="G24" s="4"/>
      <c r="H24" s="4"/>
      <c r="I24" s="29">
        <v>14.8</v>
      </c>
      <c r="J24" s="17">
        <v>1900</v>
      </c>
      <c r="K24" s="16">
        <f t="shared" si="1"/>
        <v>128.37837837837839</v>
      </c>
      <c r="L24" s="29">
        <v>14.8</v>
      </c>
      <c r="M24" s="17">
        <f>AVERAGE(M19:M23)</f>
        <v>1826.5175360490271</v>
      </c>
      <c r="N24" s="16">
        <f t="shared" si="3"/>
        <v>123.41334703033966</v>
      </c>
      <c r="O24" s="18">
        <f t="shared" si="4"/>
        <v>0</v>
      </c>
      <c r="P24" s="19">
        <f t="shared" si="5"/>
        <v>-4.9650313480387211</v>
      </c>
      <c r="Q24" s="20">
        <f t="shared" si="6"/>
        <v>0.96132501897317202</v>
      </c>
      <c r="R24" s="170"/>
      <c r="S24" s="27"/>
      <c r="T24" s="27"/>
      <c r="U24" s="16"/>
      <c r="V24" s="21"/>
      <c r="W24" s="16"/>
      <c r="X24" s="16"/>
      <c r="Y24" s="30">
        <f>SUM(Y19:Y23)</f>
        <v>0</v>
      </c>
      <c r="Z24" s="30">
        <f>SUM(Z19:Z23)</f>
        <v>0</v>
      </c>
      <c r="AA24" s="166"/>
      <c r="AB24" s="166"/>
      <c r="AC24" s="30">
        <v>5</v>
      </c>
      <c r="AD24" s="30">
        <f>SUM(AD19:AD23)</f>
        <v>0</v>
      </c>
      <c r="AE24" s="18">
        <f t="shared" si="8"/>
        <v>-73.482463950972942</v>
      </c>
      <c r="AF24" s="20">
        <f t="shared" si="9"/>
        <v>0.96132501897317213</v>
      </c>
      <c r="AG24" s="170"/>
    </row>
    <row r="25" spans="1:33" ht="15.75" customHeight="1">
      <c r="A25" s="191" t="s">
        <v>698</v>
      </c>
      <c r="B25" s="35" t="s">
        <v>97</v>
      </c>
      <c r="C25" s="190" t="s">
        <v>98</v>
      </c>
      <c r="D25" s="190"/>
      <c r="E25" s="35">
        <v>31.29</v>
      </c>
      <c r="F25" s="4">
        <v>7138</v>
      </c>
      <c r="G25" s="4">
        <f t="shared" ref="G25:G30" si="23">E25*F25</f>
        <v>223348.02</v>
      </c>
      <c r="H25" s="21" t="s">
        <v>133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30" si="24">F25/V25*60</f>
        <v>2290.2673796791437</v>
      </c>
      <c r="N25" s="16">
        <f t="shared" si="3"/>
        <v>127.23707664884131</v>
      </c>
      <c r="O25" s="18">
        <f t="shared" si="4"/>
        <v>0</v>
      </c>
      <c r="P25" s="19">
        <f t="shared" si="5"/>
        <v>-6.0962566844920332</v>
      </c>
      <c r="Q25" s="20">
        <f t="shared" si="6"/>
        <v>0.95427807486630978</v>
      </c>
      <c r="R25" s="170">
        <f>Q31</f>
        <v>0.95808486806787829</v>
      </c>
      <c r="S25" s="27">
        <v>8.3333333333333329E-2</v>
      </c>
      <c r="T25" s="27">
        <v>0.21319444444444446</v>
      </c>
      <c r="U25" s="4"/>
      <c r="V25" s="21">
        <f t="shared" ref="V25:V30" si="25">(T25-S25)*24*60</f>
        <v>187.00000000000006</v>
      </c>
      <c r="W25" s="22">
        <f>T25</f>
        <v>0.21319444444444446</v>
      </c>
      <c r="X25" s="22">
        <f>S26</f>
        <v>0.23125000000000001</v>
      </c>
      <c r="Y25" s="22"/>
      <c r="Z25" s="22"/>
      <c r="AA25" s="162"/>
      <c r="AB25" s="162"/>
      <c r="AC25" s="24">
        <v>6</v>
      </c>
      <c r="AD25" s="24"/>
      <c r="AE25" s="18">
        <f t="shared" si="8"/>
        <v>-109.73262032085631</v>
      </c>
      <c r="AF25" s="20">
        <f t="shared" si="9"/>
        <v>0.95427807486630989</v>
      </c>
      <c r="AG25" s="170">
        <f>AF31</f>
        <v>0.95808486806787829</v>
      </c>
    </row>
    <row r="26" spans="1:33" ht="15.75" customHeight="1">
      <c r="A26" s="191" t="s">
        <v>698</v>
      </c>
      <c r="B26" s="35" t="s">
        <v>97</v>
      </c>
      <c r="C26" s="190" t="s">
        <v>99</v>
      </c>
      <c r="D26" s="190"/>
      <c r="E26" s="35">
        <v>25.98</v>
      </c>
      <c r="F26" s="4">
        <v>2385</v>
      </c>
      <c r="G26" s="4">
        <f t="shared" si="23"/>
        <v>61962.3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2308.0645161290313</v>
      </c>
      <c r="N26" s="16">
        <f t="shared" si="3"/>
        <v>109.90783410138245</v>
      </c>
      <c r="O26" s="18">
        <f t="shared" si="4"/>
        <v>0</v>
      </c>
      <c r="P26" s="19">
        <f t="shared" si="5"/>
        <v>-4.3778801843318433</v>
      </c>
      <c r="Q26" s="20">
        <f t="shared" si="6"/>
        <v>0.96169354838709642</v>
      </c>
      <c r="R26" s="170"/>
      <c r="S26" s="27">
        <v>0.23125000000000001</v>
      </c>
      <c r="T26" s="27">
        <v>0.27430555555555558</v>
      </c>
      <c r="U26" s="4">
        <f t="shared" ref="U26:U30" si="26">(S26-T25)*24*60</f>
        <v>25.999999999999986</v>
      </c>
      <c r="V26" s="21">
        <f t="shared" si="25"/>
        <v>62.000000000000021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-91.93548387096871</v>
      </c>
      <c r="AF26" s="20">
        <f t="shared" si="9"/>
        <v>0.96169354838709642</v>
      </c>
      <c r="AG26" s="170"/>
    </row>
    <row r="27" spans="1:33" ht="15.75" customHeight="1">
      <c r="A27" s="191" t="s">
        <v>698</v>
      </c>
      <c r="B27" s="35" t="s">
        <v>97</v>
      </c>
      <c r="C27" s="190" t="s">
        <v>100</v>
      </c>
      <c r="D27" s="190"/>
      <c r="E27" s="35">
        <v>26.2</v>
      </c>
      <c r="F27" s="4">
        <v>4116</v>
      </c>
      <c r="G27" s="4">
        <f t="shared" si="23"/>
        <v>107839.2</v>
      </c>
      <c r="H27" s="21" t="s">
        <v>133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2286.6666666666665</v>
      </c>
      <c r="N27" s="16">
        <f t="shared" si="3"/>
        <v>114.33333333333333</v>
      </c>
      <c r="O27" s="18">
        <f t="shared" si="4"/>
        <v>0</v>
      </c>
      <c r="P27" s="19">
        <f t="shared" si="5"/>
        <v>-5.6666666666666714</v>
      </c>
      <c r="Q27" s="20">
        <f t="shared" si="6"/>
        <v>0.95277777777777772</v>
      </c>
      <c r="R27" s="170"/>
      <c r="S27" s="27">
        <v>0.27847222222222223</v>
      </c>
      <c r="T27" s="27">
        <v>0.35347222222222224</v>
      </c>
      <c r="U27" s="4">
        <f t="shared" si="26"/>
        <v>5.9999999999999787</v>
      </c>
      <c r="V27" s="21">
        <f t="shared" si="25"/>
        <v>108.00000000000001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-113.33333333333348</v>
      </c>
      <c r="AF27" s="20">
        <f t="shared" si="9"/>
        <v>0.95277777777777772</v>
      </c>
      <c r="AG27" s="170"/>
    </row>
    <row r="28" spans="1:33" ht="15.75" customHeight="1">
      <c r="A28" s="191" t="s">
        <v>698</v>
      </c>
      <c r="B28" s="35" t="s">
        <v>97</v>
      </c>
      <c r="C28" s="190" t="s">
        <v>101</v>
      </c>
      <c r="D28" s="190"/>
      <c r="E28" s="35">
        <v>25.99</v>
      </c>
      <c r="F28" s="4">
        <v>3310</v>
      </c>
      <c r="G28" s="4">
        <f t="shared" si="23"/>
        <v>86026.9</v>
      </c>
      <c r="H28" s="21" t="s">
        <v>133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2309.3023255813951</v>
      </c>
      <c r="N28" s="16">
        <f t="shared" si="3"/>
        <v>164.95016611295679</v>
      </c>
      <c r="O28" s="18">
        <f t="shared" si="4"/>
        <v>0</v>
      </c>
      <c r="P28" s="19">
        <f t="shared" si="5"/>
        <v>-6.4784053156146229</v>
      </c>
      <c r="Q28" s="20">
        <f t="shared" si="6"/>
        <v>0.96220930232558133</v>
      </c>
      <c r="R28" s="170"/>
      <c r="S28" s="27">
        <v>0.35902777777777778</v>
      </c>
      <c r="T28" s="27">
        <v>0.41875000000000001</v>
      </c>
      <c r="U28" s="4">
        <f t="shared" si="26"/>
        <v>7.9999999999999716</v>
      </c>
      <c r="V28" s="21">
        <f t="shared" si="25"/>
        <v>86.000000000000014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-90.697674418604947</v>
      </c>
      <c r="AF28" s="20">
        <f t="shared" si="9"/>
        <v>0.96220930232558122</v>
      </c>
      <c r="AG28" s="170"/>
    </row>
    <row r="29" spans="1:33" ht="15.75" customHeight="1">
      <c r="A29" s="191" t="s">
        <v>54</v>
      </c>
      <c r="B29" s="35" t="s">
        <v>97</v>
      </c>
      <c r="C29" s="190" t="s">
        <v>102</v>
      </c>
      <c r="D29" s="190"/>
      <c r="E29" s="35">
        <v>26.18</v>
      </c>
      <c r="F29" s="4">
        <v>1378</v>
      </c>
      <c r="G29" s="4">
        <f t="shared" si="23"/>
        <v>36076.04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2296.6666666666652</v>
      </c>
      <c r="N29" s="16">
        <f t="shared" si="3"/>
        <v>120.87719298245607</v>
      </c>
      <c r="O29" s="18">
        <f t="shared" si="4"/>
        <v>0</v>
      </c>
      <c r="P29" s="19">
        <f t="shared" si="5"/>
        <v>-5.4385964912281395</v>
      </c>
      <c r="Q29" s="20">
        <f t="shared" si="6"/>
        <v>0.95694444444444393</v>
      </c>
      <c r="R29" s="170"/>
      <c r="S29" s="27">
        <v>0.42222222222222222</v>
      </c>
      <c r="T29" s="27">
        <v>0.44722222222222224</v>
      </c>
      <c r="U29" s="4">
        <f t="shared" si="26"/>
        <v>4.9999999999999822</v>
      </c>
      <c r="V29" s="21">
        <f t="shared" si="25"/>
        <v>36.000000000000028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-103.33333333333485</v>
      </c>
      <c r="AF29" s="20">
        <f t="shared" si="9"/>
        <v>0.95694444444444382</v>
      </c>
      <c r="AG29" s="170"/>
    </row>
    <row r="30" spans="1:33" ht="15.75" customHeight="1">
      <c r="A30" s="191" t="s">
        <v>698</v>
      </c>
      <c r="B30" s="35" t="s">
        <v>97</v>
      </c>
      <c r="C30" s="190" t="s">
        <v>106</v>
      </c>
      <c r="D30" s="190"/>
      <c r="E30" s="35">
        <v>20.21</v>
      </c>
      <c r="F30" s="4">
        <v>2536</v>
      </c>
      <c r="G30" s="4">
        <f t="shared" si="23"/>
        <v>51252.560000000005</v>
      </c>
      <c r="H30" s="21" t="s">
        <v>133</v>
      </c>
      <c r="I30" s="15">
        <v>15</v>
      </c>
      <c r="J30" s="17">
        <v>2400</v>
      </c>
      <c r="K30" s="16">
        <f t="shared" si="1"/>
        <v>160</v>
      </c>
      <c r="L30" s="15">
        <v>15</v>
      </c>
      <c r="M30" s="17">
        <f t="shared" si="24"/>
        <v>2305.4545454545455</v>
      </c>
      <c r="N30" s="16">
        <f t="shared" si="3"/>
        <v>153.69696969696969</v>
      </c>
      <c r="O30" s="18">
        <f t="shared" si="4"/>
        <v>0</v>
      </c>
      <c r="P30" s="19">
        <f t="shared" si="5"/>
        <v>-6.3030303030303116</v>
      </c>
      <c r="Q30" s="20">
        <f t="shared" si="6"/>
        <v>0.96060606060606057</v>
      </c>
      <c r="R30" s="170"/>
      <c r="S30" s="27">
        <v>0.45069444444444445</v>
      </c>
      <c r="T30" s="27">
        <v>0.49652777777777779</v>
      </c>
      <c r="U30" s="4">
        <f t="shared" si="26"/>
        <v>4.9999999999999822</v>
      </c>
      <c r="V30" s="21">
        <f t="shared" si="25"/>
        <v>66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-94.545454545454504</v>
      </c>
      <c r="AF30" s="20">
        <f t="shared" si="9"/>
        <v>0.96060606060606057</v>
      </c>
      <c r="AG30" s="170"/>
    </row>
    <row r="31" spans="1:33" ht="15.75" customHeight="1">
      <c r="A31" s="191" t="s">
        <v>54</v>
      </c>
      <c r="B31" s="35" t="s">
        <v>48</v>
      </c>
      <c r="C31" s="171"/>
      <c r="D31" s="171"/>
      <c r="E31" s="36"/>
      <c r="F31" s="4"/>
      <c r="G31" s="4"/>
      <c r="H31" s="4"/>
      <c r="I31" s="29">
        <v>17.833333333333332</v>
      </c>
      <c r="J31" s="17">
        <v>2400</v>
      </c>
      <c r="K31" s="16">
        <f t="shared" si="1"/>
        <v>134.57943925233647</v>
      </c>
      <c r="L31" s="29">
        <v>17.833333333333332</v>
      </c>
      <c r="M31" s="17">
        <f>AVERAGE(M25:M30)</f>
        <v>2299.4036833629079</v>
      </c>
      <c r="N31" s="16">
        <f t="shared" si="3"/>
        <v>128.93852430072383</v>
      </c>
      <c r="O31" s="18">
        <f t="shared" si="4"/>
        <v>0</v>
      </c>
      <c r="P31" s="19">
        <f t="shared" si="5"/>
        <v>-5.6409149516126433</v>
      </c>
      <c r="Q31" s="20">
        <f t="shared" si="6"/>
        <v>0.95808486806787829</v>
      </c>
      <c r="R31" s="170"/>
      <c r="S31" s="27"/>
      <c r="T31" s="27"/>
      <c r="U31" s="4"/>
      <c r="V31" s="21"/>
      <c r="W31" s="4"/>
      <c r="X31" s="4"/>
      <c r="Y31" s="30">
        <f>SUM(Y25:Y30)</f>
        <v>0</v>
      </c>
      <c r="Z31" s="30">
        <f>SUM(Z25:Z30)</f>
        <v>0</v>
      </c>
      <c r="AA31" s="166"/>
      <c r="AB31" s="166"/>
      <c r="AC31" s="30">
        <v>6</v>
      </c>
      <c r="AD31" s="30">
        <f>SUM(AD25:AD30)</f>
        <v>0</v>
      </c>
      <c r="AE31" s="18">
        <f t="shared" si="8"/>
        <v>-100.59631663709206</v>
      </c>
      <c r="AF31" s="20">
        <f t="shared" si="9"/>
        <v>0.95808486806787829</v>
      </c>
      <c r="AG31" s="170"/>
    </row>
    <row r="32" spans="1:33" ht="15.75" customHeight="1">
      <c r="A32" s="188" t="s">
        <v>699</v>
      </c>
      <c r="B32" s="35" t="s">
        <v>97</v>
      </c>
      <c r="C32" s="163" t="s">
        <v>103</v>
      </c>
      <c r="D32" s="163"/>
      <c r="E32" s="35">
        <v>26.2</v>
      </c>
      <c r="F32" s="4">
        <v>5364</v>
      </c>
      <c r="G32" s="4">
        <f t="shared" ref="G32:G36" si="27">E32*F32</f>
        <v>140536.79999999999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ref="M32:M36" si="28">F32/V32*60</f>
        <v>2282.5531914893618</v>
      </c>
      <c r="N32" s="16">
        <f t="shared" si="3"/>
        <v>126.80851063829788</v>
      </c>
      <c r="O32" s="18">
        <f t="shared" si="4"/>
        <v>0</v>
      </c>
      <c r="P32" s="19">
        <f t="shared" si="5"/>
        <v>-6.5248226950354677</v>
      </c>
      <c r="Q32" s="20">
        <f t="shared" si="6"/>
        <v>0.95106382978723403</v>
      </c>
      <c r="R32" s="170">
        <f>Q37</f>
        <v>0.95642636866298469</v>
      </c>
      <c r="S32" s="27">
        <v>8.3333333333333329E-2</v>
      </c>
      <c r="T32" s="27">
        <v>0.18124999999999999</v>
      </c>
      <c r="U32" s="4"/>
      <c r="V32" s="21">
        <f t="shared" ref="V32:V36" si="29">(T32-S32)*24*60</f>
        <v>141</v>
      </c>
      <c r="W32" s="27">
        <f>T32</f>
        <v>0.18124999999999999</v>
      </c>
      <c r="X32" s="27">
        <f>S33</f>
        <v>0.20208333333333334</v>
      </c>
      <c r="Y32" s="27"/>
      <c r="Z32" s="27"/>
      <c r="AA32" s="162"/>
      <c r="AB32" s="162"/>
      <c r="AC32" s="24">
        <v>5</v>
      </c>
      <c r="AD32" s="24"/>
      <c r="AE32" s="18">
        <f t="shared" si="8"/>
        <v>-117.44680851063822</v>
      </c>
      <c r="AF32" s="20">
        <f t="shared" si="9"/>
        <v>0.95106382978723403</v>
      </c>
      <c r="AG32" s="170">
        <f>AF37</f>
        <v>0.9564263686629848</v>
      </c>
    </row>
    <row r="33" spans="1:33" ht="15.75" customHeight="1">
      <c r="A33" s="188" t="s">
        <v>699</v>
      </c>
      <c r="B33" s="35" t="s">
        <v>97</v>
      </c>
      <c r="C33" s="163" t="s">
        <v>304</v>
      </c>
      <c r="D33" s="163"/>
      <c r="E33" s="35">
        <v>22.69</v>
      </c>
      <c r="F33" s="4">
        <v>5939</v>
      </c>
      <c r="G33" s="4">
        <f t="shared" si="27"/>
        <v>134755.91</v>
      </c>
      <c r="H33" s="21" t="s">
        <v>133</v>
      </c>
      <c r="I33" s="15">
        <v>15</v>
      </c>
      <c r="J33" s="17">
        <v>2400</v>
      </c>
      <c r="K33" s="16">
        <f t="shared" si="1"/>
        <v>160</v>
      </c>
      <c r="L33" s="15">
        <v>15</v>
      </c>
      <c r="M33" s="17">
        <f t="shared" si="28"/>
        <v>2284.2307692307691</v>
      </c>
      <c r="N33" s="16">
        <f t="shared" si="3"/>
        <v>152.28205128205127</v>
      </c>
      <c r="O33" s="18">
        <f t="shared" si="4"/>
        <v>0</v>
      </c>
      <c r="P33" s="19">
        <f t="shared" si="5"/>
        <v>-7.7179487179487296</v>
      </c>
      <c r="Q33" s="20">
        <f t="shared" si="6"/>
        <v>0.95176282051282046</v>
      </c>
      <c r="R33" s="170"/>
      <c r="S33" s="27">
        <v>0.20208333333333334</v>
      </c>
      <c r="T33" s="27">
        <v>0.31041666666666667</v>
      </c>
      <c r="U33" s="4">
        <f t="shared" ref="U33:U36" si="30">(S33-T32)*24*60</f>
        <v>30.000000000000014</v>
      </c>
      <c r="V33" s="21">
        <f t="shared" si="29"/>
        <v>156</v>
      </c>
      <c r="W33" s="4"/>
      <c r="X33" s="4"/>
      <c r="Y33" s="4"/>
      <c r="Z33" s="4"/>
      <c r="AA33" s="162"/>
      <c r="AB33" s="162"/>
      <c r="AC33" s="24"/>
      <c r="AD33" s="24"/>
      <c r="AE33" s="18">
        <f t="shared" si="8"/>
        <v>-115.76923076923094</v>
      </c>
      <c r="AF33" s="20">
        <f t="shared" si="9"/>
        <v>0.95176282051282046</v>
      </c>
      <c r="AG33" s="170"/>
    </row>
    <row r="34" spans="1:33">
      <c r="A34" s="189" t="s">
        <v>699</v>
      </c>
      <c r="B34" s="35" t="s">
        <v>97</v>
      </c>
      <c r="C34" s="163" t="s">
        <v>104</v>
      </c>
      <c r="D34" s="163"/>
      <c r="E34" s="35">
        <v>20.52</v>
      </c>
      <c r="F34" s="4">
        <v>2951</v>
      </c>
      <c r="G34" s="4">
        <f t="shared" si="27"/>
        <v>60554.52</v>
      </c>
      <c r="H34" s="21" t="s">
        <v>133</v>
      </c>
      <c r="I34" s="15">
        <v>18</v>
      </c>
      <c r="J34" s="17">
        <v>2400</v>
      </c>
      <c r="K34" s="16">
        <f t="shared" si="1"/>
        <v>133.33333333333334</v>
      </c>
      <c r="L34" s="15">
        <v>18</v>
      </c>
      <c r="M34" s="17">
        <f t="shared" si="28"/>
        <v>2299.4805194805181</v>
      </c>
      <c r="N34" s="16">
        <f t="shared" si="3"/>
        <v>127.74891774891768</v>
      </c>
      <c r="O34" s="18">
        <f t="shared" si="4"/>
        <v>0</v>
      </c>
      <c r="P34" s="19">
        <f t="shared" si="5"/>
        <v>-5.584415584415666</v>
      </c>
      <c r="Q34" s="20">
        <f t="shared" si="6"/>
        <v>0.95811688311688248</v>
      </c>
      <c r="R34" s="170"/>
      <c r="S34" s="27">
        <v>0.31597222222222221</v>
      </c>
      <c r="T34" s="27">
        <v>0.36944444444444446</v>
      </c>
      <c r="U34" s="4">
        <f t="shared" si="30"/>
        <v>7.9999999999999716</v>
      </c>
      <c r="V34" s="21">
        <f t="shared" si="29"/>
        <v>77.000000000000043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-100.51948051948193</v>
      </c>
      <c r="AF34" s="20">
        <f t="shared" si="9"/>
        <v>0.95811688311688248</v>
      </c>
      <c r="AG34" s="170"/>
    </row>
    <row r="35" spans="1:33">
      <c r="A35" s="189" t="s">
        <v>699</v>
      </c>
      <c r="B35" s="35" t="s">
        <v>97</v>
      </c>
      <c r="C35" s="163" t="s">
        <v>105</v>
      </c>
      <c r="D35" s="163"/>
      <c r="E35" s="35">
        <v>26.39</v>
      </c>
      <c r="F35" s="4">
        <v>4481</v>
      </c>
      <c r="G35" s="4">
        <f t="shared" si="27"/>
        <v>118253.59</v>
      </c>
      <c r="H35" s="21" t="s">
        <v>133</v>
      </c>
      <c r="I35" s="15">
        <v>19</v>
      </c>
      <c r="J35" s="17">
        <v>2400</v>
      </c>
      <c r="K35" s="16">
        <f t="shared" si="1"/>
        <v>126.31578947368421</v>
      </c>
      <c r="L35" s="15">
        <v>19</v>
      </c>
      <c r="M35" s="17">
        <f t="shared" si="28"/>
        <v>2297.9487179487182</v>
      </c>
      <c r="N35" s="16">
        <f t="shared" si="3"/>
        <v>120.94466936572201</v>
      </c>
      <c r="O35" s="18">
        <f t="shared" si="4"/>
        <v>0</v>
      </c>
      <c r="P35" s="19">
        <f t="shared" si="5"/>
        <v>-5.3711201079621986</v>
      </c>
      <c r="Q35" s="20">
        <f t="shared" si="6"/>
        <v>0.95747863247863263</v>
      </c>
      <c r="R35" s="170"/>
      <c r="S35" s="27">
        <v>0.37291666666666667</v>
      </c>
      <c r="T35" s="27">
        <v>0.45416666666666666</v>
      </c>
      <c r="U35" s="4">
        <f t="shared" si="30"/>
        <v>4.9999999999999822</v>
      </c>
      <c r="V35" s="21">
        <f t="shared" si="29"/>
        <v>116.99999999999999</v>
      </c>
      <c r="W35" s="22"/>
      <c r="X35" s="22"/>
      <c r="Y35" s="22"/>
      <c r="Z35" s="22"/>
      <c r="AA35" s="162"/>
      <c r="AB35" s="162"/>
      <c r="AC35" s="24"/>
      <c r="AD35" s="24"/>
      <c r="AE35" s="18">
        <f t="shared" si="8"/>
        <v>-102.05128205128176</v>
      </c>
      <c r="AF35" s="20">
        <f t="shared" si="9"/>
        <v>0.95747863247863263</v>
      </c>
      <c r="AG35" s="170"/>
    </row>
    <row r="36" spans="1:33">
      <c r="A36" s="189" t="s">
        <v>699</v>
      </c>
      <c r="B36" s="35" t="s">
        <v>97</v>
      </c>
      <c r="C36" s="163" t="s">
        <v>107</v>
      </c>
      <c r="D36" s="163"/>
      <c r="E36" s="35">
        <v>20.52</v>
      </c>
      <c r="F36" s="4">
        <v>2390</v>
      </c>
      <c r="G36" s="4">
        <f t="shared" si="27"/>
        <v>49042.799999999996</v>
      </c>
      <c r="H36" s="21" t="s">
        <v>133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2312.9032258064508</v>
      </c>
      <c r="N36" s="16">
        <f t="shared" si="3"/>
        <v>128.49462365591393</v>
      </c>
      <c r="O36" s="18">
        <f t="shared" si="4"/>
        <v>0</v>
      </c>
      <c r="P36" s="19">
        <f t="shared" si="5"/>
        <v>-4.8387096774194163</v>
      </c>
      <c r="Q36" s="20">
        <f t="shared" si="6"/>
        <v>0.96370967741935443</v>
      </c>
      <c r="R36" s="170"/>
      <c r="S36" s="27">
        <v>0.45763888888888887</v>
      </c>
      <c r="T36" s="27">
        <v>0.50069444444444444</v>
      </c>
      <c r="U36" s="4">
        <f t="shared" si="30"/>
        <v>4.9999999999999822</v>
      </c>
      <c r="V36" s="21">
        <f t="shared" si="29"/>
        <v>62.000000000000021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-87.096774193549209</v>
      </c>
      <c r="AF36" s="20">
        <f t="shared" si="9"/>
        <v>0.96370967741935454</v>
      </c>
      <c r="AG36" s="170"/>
    </row>
    <row r="37" spans="1:33">
      <c r="A37" s="189" t="s">
        <v>699</v>
      </c>
      <c r="B37" s="16" t="s">
        <v>694</v>
      </c>
      <c r="C37" s="171"/>
      <c r="D37" s="171"/>
      <c r="E37" s="36"/>
      <c r="F37" s="16"/>
      <c r="G37" s="16"/>
      <c r="H37" s="4"/>
      <c r="I37" s="29">
        <v>17.600000000000001</v>
      </c>
      <c r="J37" s="17">
        <v>2400</v>
      </c>
      <c r="K37" s="16">
        <f t="shared" si="1"/>
        <v>136.36363636363635</v>
      </c>
      <c r="L37" s="29">
        <v>17.600000000000001</v>
      </c>
      <c r="M37" s="17">
        <f>AVERAGE(M32:M36)</f>
        <v>2295.4232847911635</v>
      </c>
      <c r="N37" s="16">
        <f t="shared" si="3"/>
        <v>130.42177754495245</v>
      </c>
      <c r="O37" s="18">
        <f t="shared" si="4"/>
        <v>0</v>
      </c>
      <c r="P37" s="19">
        <f t="shared" si="5"/>
        <v>-5.9418588186838974</v>
      </c>
      <c r="Q37" s="20">
        <f t="shared" si="6"/>
        <v>0.95642636866298469</v>
      </c>
      <c r="R37" s="170"/>
      <c r="S37" s="27"/>
      <c r="T37" s="27"/>
      <c r="U37" s="16"/>
      <c r="V37" s="21"/>
      <c r="W37" s="16"/>
      <c r="X37" s="16"/>
      <c r="Y37" s="30">
        <f>SUM(Y32:Y36)</f>
        <v>0</v>
      </c>
      <c r="Z37" s="30">
        <f>SUM(Z32:Z36)</f>
        <v>0</v>
      </c>
      <c r="AA37" s="166"/>
      <c r="AB37" s="166"/>
      <c r="AC37" s="30">
        <v>5</v>
      </c>
      <c r="AD37" s="30">
        <f>SUM(AD32:AD36)</f>
        <v>0</v>
      </c>
      <c r="AE37" s="18">
        <f t="shared" si="8"/>
        <v>-104.5767152088365</v>
      </c>
      <c r="AF37" s="20">
        <f t="shared" si="9"/>
        <v>0.9564263686629848</v>
      </c>
      <c r="AG37" s="170"/>
    </row>
    <row r="38" spans="1:33" ht="15.75" customHeight="1">
      <c r="A38" s="182" t="s">
        <v>66</v>
      </c>
      <c r="B38" s="35" t="s">
        <v>108</v>
      </c>
      <c r="C38" s="174" t="s">
        <v>109</v>
      </c>
      <c r="D38" s="175"/>
      <c r="E38" s="35">
        <v>34.36</v>
      </c>
      <c r="F38" s="4">
        <v>2172</v>
      </c>
      <c r="G38" s="4">
        <f t="shared" ref="G38:G43" si="31">E38*F38</f>
        <v>74629.919999999998</v>
      </c>
      <c r="H38" s="21" t="s">
        <v>133</v>
      </c>
      <c r="I38" s="15">
        <v>10</v>
      </c>
      <c r="J38" s="17">
        <v>3000</v>
      </c>
      <c r="K38" s="16">
        <f t="shared" si="1"/>
        <v>300</v>
      </c>
      <c r="L38" s="15">
        <v>10</v>
      </c>
      <c r="M38" s="17">
        <f t="shared" ref="M38:M43" si="32">F38/V38*60</f>
        <v>2896</v>
      </c>
      <c r="N38" s="17">
        <f t="shared" si="3"/>
        <v>289.60000000000002</v>
      </c>
      <c r="O38" s="18">
        <f t="shared" si="4"/>
        <v>0</v>
      </c>
      <c r="P38" s="19">
        <f t="shared" si="5"/>
        <v>-10.399999999999977</v>
      </c>
      <c r="Q38" s="20">
        <f t="shared" si="6"/>
        <v>0.96533333333333338</v>
      </c>
      <c r="R38" s="185">
        <f>Q44</f>
        <v>0.95914377265424444</v>
      </c>
      <c r="S38" s="27">
        <v>8.3333333333333329E-2</v>
      </c>
      <c r="T38" s="27">
        <v>0.11458333333333333</v>
      </c>
      <c r="U38" s="27"/>
      <c r="V38" s="21">
        <f t="shared" ref="V38:V43" si="33">(T38-S38)*24*60</f>
        <v>45</v>
      </c>
      <c r="W38" s="22"/>
      <c r="X38" s="22"/>
      <c r="Y38" s="25"/>
      <c r="Z38" s="25"/>
      <c r="AA38" s="176"/>
      <c r="AB38" s="177"/>
      <c r="AC38" s="24">
        <v>6</v>
      </c>
      <c r="AD38" s="24"/>
      <c r="AE38" s="18">
        <f t="shared" si="8"/>
        <v>-104</v>
      </c>
      <c r="AF38" s="20">
        <f t="shared" si="9"/>
        <v>0.96533333333333338</v>
      </c>
      <c r="AG38" s="185">
        <f>AF44</f>
        <v>0.95914377265424444</v>
      </c>
    </row>
    <row r="39" spans="1:33" ht="15.75" customHeight="1">
      <c r="A39" s="183" t="s">
        <v>66</v>
      </c>
      <c r="B39" s="35" t="s">
        <v>108</v>
      </c>
      <c r="C39" s="174" t="s">
        <v>110</v>
      </c>
      <c r="D39" s="175"/>
      <c r="E39" s="35">
        <v>26.78</v>
      </c>
      <c r="F39" s="4">
        <v>2321</v>
      </c>
      <c r="G39" s="4">
        <f t="shared" si="31"/>
        <v>62156.380000000005</v>
      </c>
      <c r="H39" s="21" t="s">
        <v>133</v>
      </c>
      <c r="I39" s="15">
        <v>10</v>
      </c>
      <c r="J39" s="17">
        <v>3000</v>
      </c>
      <c r="K39" s="16">
        <f t="shared" si="1"/>
        <v>300</v>
      </c>
      <c r="L39" s="15">
        <v>10</v>
      </c>
      <c r="M39" s="17">
        <f t="shared" si="32"/>
        <v>2901.2500000000009</v>
      </c>
      <c r="N39" s="17">
        <f t="shared" si="3"/>
        <v>290.12500000000011</v>
      </c>
      <c r="O39" s="18">
        <f t="shared" si="4"/>
        <v>0</v>
      </c>
      <c r="P39" s="19">
        <f t="shared" si="5"/>
        <v>-9.8749999999998863</v>
      </c>
      <c r="Q39" s="20">
        <f t="shared" si="6"/>
        <v>0.96708333333333374</v>
      </c>
      <c r="R39" s="186"/>
      <c r="S39" s="27">
        <v>0.11944444444444444</v>
      </c>
      <c r="T39" s="27">
        <v>0.15277777777777776</v>
      </c>
      <c r="U39" s="4">
        <f t="shared" ref="U39:U43" si="34">(S39-T38)*24*60</f>
        <v>6.9999999999999947</v>
      </c>
      <c r="V39" s="21">
        <f t="shared" si="33"/>
        <v>47.999999999999986</v>
      </c>
      <c r="W39" s="22">
        <f>T39</f>
        <v>0.15277777777777776</v>
      </c>
      <c r="X39" s="22">
        <f>S40</f>
        <v>0.17222222222222219</v>
      </c>
      <c r="Y39" s="25"/>
      <c r="Z39" s="25"/>
      <c r="AA39" s="176"/>
      <c r="AB39" s="177"/>
      <c r="AC39" s="24"/>
      <c r="AD39" s="24"/>
      <c r="AE39" s="18">
        <f t="shared" si="8"/>
        <v>-98.749999999999091</v>
      </c>
      <c r="AF39" s="20">
        <f t="shared" si="9"/>
        <v>0.96708333333333363</v>
      </c>
      <c r="AG39" s="186"/>
    </row>
    <row r="40" spans="1:33" ht="15.75" customHeight="1">
      <c r="A40" s="183" t="s">
        <v>66</v>
      </c>
      <c r="B40" s="35" t="s">
        <v>108</v>
      </c>
      <c r="C40" s="174" t="s">
        <v>111</v>
      </c>
      <c r="D40" s="175"/>
      <c r="E40" s="35">
        <v>21.13</v>
      </c>
      <c r="F40" s="4">
        <v>4520</v>
      </c>
      <c r="G40" s="4">
        <f t="shared" si="31"/>
        <v>95507.599999999991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si="32"/>
        <v>2854.7368421052624</v>
      </c>
      <c r="N40" s="17">
        <f t="shared" si="3"/>
        <v>285.47368421052624</v>
      </c>
      <c r="O40" s="18">
        <f t="shared" si="4"/>
        <v>0</v>
      </c>
      <c r="P40" s="19">
        <f t="shared" si="5"/>
        <v>-14.526315789473756</v>
      </c>
      <c r="Q40" s="20">
        <f t="shared" si="6"/>
        <v>0.95157894736842086</v>
      </c>
      <c r="R40" s="186"/>
      <c r="S40" s="27">
        <v>0.17222222222222219</v>
      </c>
      <c r="T40" s="27">
        <v>0.23819444444444443</v>
      </c>
      <c r="U40" s="4">
        <f t="shared" si="34"/>
        <v>27.999999999999979</v>
      </c>
      <c r="V40" s="21">
        <f t="shared" si="33"/>
        <v>95.000000000000028</v>
      </c>
      <c r="W40" s="22"/>
      <c r="X40" s="22"/>
      <c r="Y40" s="25"/>
      <c r="Z40" s="25"/>
      <c r="AA40" s="176"/>
      <c r="AB40" s="177"/>
      <c r="AC40" s="24"/>
      <c r="AD40" s="24"/>
      <c r="AE40" s="18">
        <f t="shared" si="8"/>
        <v>-145.26315789473756</v>
      </c>
      <c r="AF40" s="20">
        <f t="shared" si="9"/>
        <v>0.95157894736842086</v>
      </c>
      <c r="AG40" s="186"/>
    </row>
    <row r="41" spans="1:33" ht="15.75" customHeight="1">
      <c r="A41" s="183" t="s">
        <v>66</v>
      </c>
      <c r="B41" s="35" t="s">
        <v>108</v>
      </c>
      <c r="C41" s="174" t="s">
        <v>112</v>
      </c>
      <c r="D41" s="175"/>
      <c r="E41" s="35">
        <v>27.17</v>
      </c>
      <c r="F41" s="4">
        <v>5972</v>
      </c>
      <c r="G41" s="4">
        <f t="shared" si="31"/>
        <v>162259.24000000002</v>
      </c>
      <c r="H41" s="21" t="s">
        <v>133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2866.5600000000004</v>
      </c>
      <c r="N41" s="17">
        <f t="shared" si="3"/>
        <v>286.65600000000006</v>
      </c>
      <c r="O41" s="18">
        <f t="shared" si="4"/>
        <v>0</v>
      </c>
      <c r="P41" s="19">
        <f t="shared" si="5"/>
        <v>-13.343999999999937</v>
      </c>
      <c r="Q41" s="20">
        <f t="shared" si="6"/>
        <v>0.95552000000000026</v>
      </c>
      <c r="R41" s="186"/>
      <c r="S41" s="27">
        <v>0.24305555555555555</v>
      </c>
      <c r="T41" s="27">
        <v>0.3298611111111111</v>
      </c>
      <c r="U41" s="4">
        <f t="shared" si="34"/>
        <v>7.0000000000000151</v>
      </c>
      <c r="V41" s="21">
        <f t="shared" si="33"/>
        <v>124.99999999999999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-133.4399999999996</v>
      </c>
      <c r="AF41" s="20">
        <f t="shared" si="9"/>
        <v>0.95552000000000015</v>
      </c>
      <c r="AG41" s="186"/>
    </row>
    <row r="42" spans="1:33" ht="15.75" customHeight="1">
      <c r="A42" s="183" t="s">
        <v>66</v>
      </c>
      <c r="B42" s="35" t="s">
        <v>108</v>
      </c>
      <c r="C42" s="174" t="s">
        <v>305</v>
      </c>
      <c r="D42" s="175"/>
      <c r="E42" s="35">
        <v>28.3</v>
      </c>
      <c r="F42" s="4">
        <v>3953</v>
      </c>
      <c r="G42" s="4">
        <f t="shared" si="31"/>
        <v>111869.90000000001</v>
      </c>
      <c r="H42" s="21" t="s">
        <v>133</v>
      </c>
      <c r="I42" s="15">
        <v>8</v>
      </c>
      <c r="J42" s="17">
        <v>3000</v>
      </c>
      <c r="K42" s="16">
        <f t="shared" si="1"/>
        <v>375</v>
      </c>
      <c r="L42" s="15">
        <v>8</v>
      </c>
      <c r="M42" s="17">
        <f t="shared" si="32"/>
        <v>2857.5903614457825</v>
      </c>
      <c r="N42" s="17">
        <f t="shared" si="3"/>
        <v>357.19879518072281</v>
      </c>
      <c r="O42" s="18">
        <f t="shared" si="4"/>
        <v>0</v>
      </c>
      <c r="P42" s="19">
        <f t="shared" si="5"/>
        <v>-17.801204819277189</v>
      </c>
      <c r="Q42" s="20">
        <f t="shared" si="6"/>
        <v>0.95253012048192753</v>
      </c>
      <c r="R42" s="186"/>
      <c r="S42" s="27">
        <v>0.3347222222222222</v>
      </c>
      <c r="T42" s="27">
        <v>0.3923611111111111</v>
      </c>
      <c r="U42" s="4">
        <f t="shared" si="34"/>
        <v>6.9999999999999751</v>
      </c>
      <c r="V42" s="21">
        <f t="shared" si="33"/>
        <v>83.000000000000028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-142.40963855421751</v>
      </c>
      <c r="AF42" s="20">
        <f t="shared" si="9"/>
        <v>0.95253012048192753</v>
      </c>
      <c r="AG42" s="186"/>
    </row>
    <row r="43" spans="1:33" ht="15.75" customHeight="1">
      <c r="A43" s="183" t="s">
        <v>700</v>
      </c>
      <c r="B43" s="35" t="s">
        <v>108</v>
      </c>
      <c r="C43" s="174" t="s">
        <v>113</v>
      </c>
      <c r="D43" s="175"/>
      <c r="E43" s="35">
        <v>35.869999999999997</v>
      </c>
      <c r="F43" s="4">
        <v>3418</v>
      </c>
      <c r="G43" s="4">
        <f t="shared" si="31"/>
        <v>122603.65999999999</v>
      </c>
      <c r="H43" s="21" t="s">
        <v>133</v>
      </c>
      <c r="I43" s="15">
        <v>9</v>
      </c>
      <c r="J43" s="17">
        <v>3000</v>
      </c>
      <c r="K43" s="16">
        <f t="shared" si="1"/>
        <v>333.33333333333331</v>
      </c>
      <c r="L43" s="15">
        <v>9</v>
      </c>
      <c r="M43" s="17">
        <f t="shared" si="32"/>
        <v>2888.4507042253526</v>
      </c>
      <c r="N43" s="17">
        <f t="shared" si="3"/>
        <v>320.93896713615027</v>
      </c>
      <c r="O43" s="18">
        <f t="shared" si="4"/>
        <v>0</v>
      </c>
      <c r="P43" s="19">
        <f t="shared" si="5"/>
        <v>-12.394366197183047</v>
      </c>
      <c r="Q43" s="20">
        <f t="shared" si="6"/>
        <v>0.96281690140845089</v>
      </c>
      <c r="R43" s="186"/>
      <c r="S43" s="27">
        <v>0.39652777777777776</v>
      </c>
      <c r="T43" s="27">
        <v>0.4458333333333333</v>
      </c>
      <c r="U43" s="4">
        <f t="shared" si="34"/>
        <v>5.9999999999999787</v>
      </c>
      <c r="V43" s="21">
        <f t="shared" si="33"/>
        <v>70.999999999999986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-111.54929577464736</v>
      </c>
      <c r="AF43" s="20">
        <f t="shared" si="9"/>
        <v>0.96281690140845089</v>
      </c>
      <c r="AG43" s="186"/>
    </row>
    <row r="44" spans="1:33" ht="15.75" customHeight="1">
      <c r="A44" s="184" t="s">
        <v>700</v>
      </c>
      <c r="B44" s="35" t="s">
        <v>701</v>
      </c>
      <c r="C44" s="164"/>
      <c r="D44" s="165"/>
      <c r="E44" s="37"/>
      <c r="F44" s="4"/>
      <c r="G44" s="4"/>
      <c r="H44" s="4"/>
      <c r="I44" s="29">
        <v>9.5</v>
      </c>
      <c r="J44" s="17">
        <v>3000</v>
      </c>
      <c r="K44" s="16">
        <f t="shared" si="1"/>
        <v>315.78947368421052</v>
      </c>
      <c r="L44" s="29">
        <v>9.5</v>
      </c>
      <c r="M44" s="17">
        <f>AVERAGE(M38:M43)</f>
        <v>2877.4313179627334</v>
      </c>
      <c r="N44" s="16">
        <f t="shared" si="3"/>
        <v>302.88750715397191</v>
      </c>
      <c r="O44" s="18">
        <f t="shared" si="4"/>
        <v>0</v>
      </c>
      <c r="P44" s="19">
        <f t="shared" si="5"/>
        <v>-12.90196653023861</v>
      </c>
      <c r="Q44" s="20">
        <f t="shared" si="6"/>
        <v>0.95914377265424444</v>
      </c>
      <c r="R44" s="187"/>
      <c r="S44" s="27"/>
      <c r="T44" s="27"/>
      <c r="U44" s="4"/>
      <c r="V44" s="21"/>
      <c r="W44" s="22"/>
      <c r="X44" s="22"/>
      <c r="Y44" s="30">
        <f>SUM(Y38:Y43)</f>
        <v>0</v>
      </c>
      <c r="Z44" s="30">
        <f>SUM(Z38:Z43)</f>
        <v>0</v>
      </c>
      <c r="AA44" s="180"/>
      <c r="AB44" s="181"/>
      <c r="AC44" s="30">
        <v>6</v>
      </c>
      <c r="AD44" s="30">
        <f>SUM(AD38:AD43)</f>
        <v>0</v>
      </c>
      <c r="AE44" s="18">
        <f t="shared" si="8"/>
        <v>-122.56868203726663</v>
      </c>
      <c r="AF44" s="20">
        <f t="shared" si="9"/>
        <v>0.95914377265424444</v>
      </c>
      <c r="AG44" s="187"/>
    </row>
    <row r="45" spans="1:33" ht="15.75" customHeight="1">
      <c r="A45" s="178" t="s">
        <v>702</v>
      </c>
      <c r="B45" s="35" t="s">
        <v>84</v>
      </c>
      <c r="C45" s="163" t="s">
        <v>114</v>
      </c>
      <c r="D45" s="163"/>
      <c r="E45" s="35">
        <v>46</v>
      </c>
      <c r="F45" s="38">
        <v>1252</v>
      </c>
      <c r="G45" s="4">
        <f t="shared" ref="G45:G52" si="35">E45*F45</f>
        <v>57592</v>
      </c>
      <c r="H45" s="21" t="s">
        <v>133</v>
      </c>
      <c r="I45" s="15">
        <v>17</v>
      </c>
      <c r="J45" s="17">
        <v>2000</v>
      </c>
      <c r="K45" s="16">
        <f t="shared" si="1"/>
        <v>117.64705882352941</v>
      </c>
      <c r="L45" s="15">
        <v>17</v>
      </c>
      <c r="M45" s="17">
        <f t="shared" ref="M45:M52" si="36">F45/V45*60</f>
        <v>1926.1538461538473</v>
      </c>
      <c r="N45" s="17">
        <f t="shared" si="3"/>
        <v>113.30316742081455</v>
      </c>
      <c r="O45" s="18">
        <f t="shared" si="4"/>
        <v>0</v>
      </c>
      <c r="P45" s="19">
        <f t="shared" si="5"/>
        <v>-4.3438914027148599</v>
      </c>
      <c r="Q45" s="20">
        <f t="shared" si="6"/>
        <v>0.96307692307692372</v>
      </c>
      <c r="R45" s="170">
        <f>Q53</f>
        <v>0.95516901320256409</v>
      </c>
      <c r="S45" s="27">
        <v>0.20833333333333334</v>
      </c>
      <c r="T45" s="27">
        <v>0.23541666666666666</v>
      </c>
      <c r="U45" s="27"/>
      <c r="V45" s="21">
        <f t="shared" ref="V45:V52" si="37">(T45-S45)*24*60</f>
        <v>38.999999999999979</v>
      </c>
      <c r="W45" s="27"/>
      <c r="X45" s="27"/>
      <c r="Y45" s="27"/>
      <c r="Z45" s="27"/>
      <c r="AA45" s="162"/>
      <c r="AB45" s="162"/>
      <c r="AC45" s="24">
        <v>8</v>
      </c>
      <c r="AD45" s="24"/>
      <c r="AE45" s="18">
        <f t="shared" si="8"/>
        <v>-73.846153846152674</v>
      </c>
      <c r="AF45" s="20">
        <f t="shared" si="9"/>
        <v>0.96307692307692361</v>
      </c>
      <c r="AG45" s="170">
        <f>AF53</f>
        <v>0.95516901320256409</v>
      </c>
    </row>
    <row r="46" spans="1:33" ht="15.75" customHeight="1">
      <c r="A46" s="178" t="s">
        <v>702</v>
      </c>
      <c r="B46" s="35" t="s">
        <v>78</v>
      </c>
      <c r="C46" s="163" t="s">
        <v>115</v>
      </c>
      <c r="D46" s="163"/>
      <c r="E46" s="35">
        <v>56.43</v>
      </c>
      <c r="F46" s="38">
        <v>1636</v>
      </c>
      <c r="G46" s="4">
        <f t="shared" si="35"/>
        <v>92319.48</v>
      </c>
      <c r="H46" s="21" t="s">
        <v>133</v>
      </c>
      <c r="I46" s="15">
        <v>22</v>
      </c>
      <c r="J46" s="17">
        <v>2000</v>
      </c>
      <c r="K46" s="16">
        <f t="shared" si="1"/>
        <v>90.909090909090907</v>
      </c>
      <c r="L46" s="15">
        <v>22</v>
      </c>
      <c r="M46" s="17">
        <f t="shared" si="36"/>
        <v>1817.7777777777776</v>
      </c>
      <c r="N46" s="17">
        <f t="shared" si="3"/>
        <v>82.626262626262616</v>
      </c>
      <c r="O46" s="18">
        <f t="shared" si="4"/>
        <v>0</v>
      </c>
      <c r="P46" s="19">
        <f t="shared" si="5"/>
        <v>-8.2828282828282909</v>
      </c>
      <c r="Q46" s="20">
        <f t="shared" si="6"/>
        <v>0.90888888888888875</v>
      </c>
      <c r="R46" s="170"/>
      <c r="S46" s="27">
        <v>0.23958333333333334</v>
      </c>
      <c r="T46" s="27">
        <v>0.27708333333333335</v>
      </c>
      <c r="U46" s="4">
        <f t="shared" ref="U46:U52" si="38">IF(S46=TIME(17,0,0),"",(S46-T45)*24*60)</f>
        <v>6.0000000000000187</v>
      </c>
      <c r="V46" s="21">
        <f t="shared" si="37"/>
        <v>54.000000000000007</v>
      </c>
      <c r="W46" s="22"/>
      <c r="X46" s="22"/>
      <c r="Y46" s="22"/>
      <c r="Z46" s="22"/>
      <c r="AA46" s="162"/>
      <c r="AB46" s="162"/>
      <c r="AC46" s="24"/>
      <c r="AD46" s="24"/>
      <c r="AE46" s="18">
        <f t="shared" si="8"/>
        <v>-182.2222222222224</v>
      </c>
      <c r="AF46" s="20">
        <f t="shared" si="9"/>
        <v>0.90888888888888875</v>
      </c>
      <c r="AG46" s="170"/>
    </row>
    <row r="47" spans="1:33" ht="15.75" customHeight="1">
      <c r="A47" s="178" t="s">
        <v>72</v>
      </c>
      <c r="B47" s="35" t="s">
        <v>78</v>
      </c>
      <c r="C47" s="174" t="s">
        <v>116</v>
      </c>
      <c r="D47" s="175"/>
      <c r="E47" s="35">
        <v>51.75</v>
      </c>
      <c r="F47" s="38">
        <v>1241</v>
      </c>
      <c r="G47" s="4">
        <f t="shared" si="35"/>
        <v>64221.75</v>
      </c>
      <c r="H47" s="21" t="s">
        <v>133</v>
      </c>
      <c r="I47" s="15">
        <v>25</v>
      </c>
      <c r="J47" s="17">
        <v>2000</v>
      </c>
      <c r="K47" s="16">
        <f t="shared" si="1"/>
        <v>80</v>
      </c>
      <c r="L47" s="15">
        <v>25</v>
      </c>
      <c r="M47" s="17">
        <f t="shared" si="36"/>
        <v>1959.4736842105249</v>
      </c>
      <c r="N47" s="17">
        <f t="shared" si="3"/>
        <v>78.378947368420995</v>
      </c>
      <c r="O47" s="18">
        <f t="shared" si="4"/>
        <v>0</v>
      </c>
      <c r="P47" s="19">
        <f t="shared" si="5"/>
        <v>-1.6210526315790048</v>
      </c>
      <c r="Q47" s="20">
        <f t="shared" si="6"/>
        <v>0.97973684210526246</v>
      </c>
      <c r="R47" s="170"/>
      <c r="S47" s="27">
        <v>0.28194444444444444</v>
      </c>
      <c r="T47" s="27">
        <v>0.30833333333333335</v>
      </c>
      <c r="U47" s="4">
        <f t="shared" si="38"/>
        <v>6.9999999999999751</v>
      </c>
      <c r="V47" s="21">
        <f t="shared" si="37"/>
        <v>38.000000000000028</v>
      </c>
      <c r="W47" s="22"/>
      <c r="X47" s="22"/>
      <c r="Y47" s="25"/>
      <c r="Z47" s="25"/>
      <c r="AA47" s="162"/>
      <c r="AB47" s="162"/>
      <c r="AC47" s="24"/>
      <c r="AD47" s="24"/>
      <c r="AE47" s="18">
        <f t="shared" si="8"/>
        <v>-40.52631578947512</v>
      </c>
      <c r="AF47" s="20">
        <f t="shared" si="9"/>
        <v>0.97973684210526246</v>
      </c>
      <c r="AG47" s="170"/>
    </row>
    <row r="48" spans="1:33" ht="15.75" customHeight="1">
      <c r="A48" s="178" t="s">
        <v>702</v>
      </c>
      <c r="B48" s="35" t="s">
        <v>78</v>
      </c>
      <c r="C48" s="39" t="s">
        <v>117</v>
      </c>
      <c r="D48" s="40"/>
      <c r="E48" s="35">
        <v>54.09</v>
      </c>
      <c r="F48" s="38">
        <v>1452</v>
      </c>
      <c r="G48" s="4">
        <f t="shared" si="35"/>
        <v>78538.680000000008</v>
      </c>
      <c r="H48" s="21" t="s">
        <v>133</v>
      </c>
      <c r="I48" s="15">
        <v>19</v>
      </c>
      <c r="J48" s="17">
        <v>2000</v>
      </c>
      <c r="K48" s="16">
        <f t="shared" si="1"/>
        <v>105.26315789473684</v>
      </c>
      <c r="L48" s="15">
        <v>19</v>
      </c>
      <c r="M48" s="17">
        <f t="shared" si="36"/>
        <v>1853.617021276596</v>
      </c>
      <c r="N48" s="17">
        <f t="shared" si="3"/>
        <v>97.558790593505051</v>
      </c>
      <c r="O48" s="18">
        <f t="shared" si="4"/>
        <v>0</v>
      </c>
      <c r="P48" s="19">
        <f t="shared" si="5"/>
        <v>-7.7043673012317839</v>
      </c>
      <c r="Q48" s="20">
        <f t="shared" si="6"/>
        <v>0.92680851063829806</v>
      </c>
      <c r="R48" s="170"/>
      <c r="S48" s="27">
        <v>0.31319444444444444</v>
      </c>
      <c r="T48" s="27">
        <v>0.34583333333333333</v>
      </c>
      <c r="U48" s="4">
        <f t="shared" si="38"/>
        <v>6.9999999999999751</v>
      </c>
      <c r="V48" s="21">
        <f t="shared" si="37"/>
        <v>46.999999999999993</v>
      </c>
      <c r="W48" s="22"/>
      <c r="X48" s="22"/>
      <c r="Y48" s="25"/>
      <c r="Z48" s="25"/>
      <c r="AA48" s="162"/>
      <c r="AB48" s="162"/>
      <c r="AC48" s="24"/>
      <c r="AD48" s="24"/>
      <c r="AE48" s="18">
        <f t="shared" si="8"/>
        <v>-146.38297872340399</v>
      </c>
      <c r="AF48" s="20">
        <f t="shared" si="9"/>
        <v>0.92680851063829806</v>
      </c>
      <c r="AG48" s="170"/>
    </row>
    <row r="49" spans="1:33" ht="15.75" customHeight="1">
      <c r="A49" s="178" t="s">
        <v>702</v>
      </c>
      <c r="B49" s="35" t="s">
        <v>78</v>
      </c>
      <c r="C49" s="39" t="s">
        <v>118</v>
      </c>
      <c r="D49" s="40"/>
      <c r="E49" s="35">
        <v>57.73</v>
      </c>
      <c r="F49" s="38">
        <v>1043</v>
      </c>
      <c r="G49" s="4">
        <f t="shared" si="35"/>
        <v>60212.39</v>
      </c>
      <c r="H49" s="21" t="s">
        <v>133</v>
      </c>
      <c r="I49" s="15">
        <v>16</v>
      </c>
      <c r="J49" s="17">
        <v>1500</v>
      </c>
      <c r="K49" s="16">
        <f t="shared" si="1"/>
        <v>93.75</v>
      </c>
      <c r="L49" s="15">
        <v>16</v>
      </c>
      <c r="M49" s="17">
        <f t="shared" si="36"/>
        <v>1455.348837209302</v>
      </c>
      <c r="N49" s="17">
        <f t="shared" si="3"/>
        <v>90.959302325581376</v>
      </c>
      <c r="O49" s="18">
        <f t="shared" si="4"/>
        <v>0</v>
      </c>
      <c r="P49" s="19">
        <f t="shared" si="5"/>
        <v>-2.7906976744186238</v>
      </c>
      <c r="Q49" s="20">
        <f t="shared" si="6"/>
        <v>0.97023255813953468</v>
      </c>
      <c r="R49" s="170"/>
      <c r="S49" s="27">
        <v>0.70833333333333337</v>
      </c>
      <c r="T49" s="27">
        <v>0.73819444444444449</v>
      </c>
      <c r="U49" s="4" t="str">
        <f t="shared" si="38"/>
        <v/>
      </c>
      <c r="V49" s="21">
        <f t="shared" si="37"/>
        <v>43.000000000000007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-44.651162790697981</v>
      </c>
      <c r="AF49" s="20">
        <f t="shared" si="9"/>
        <v>0.97023255813953468</v>
      </c>
      <c r="AG49" s="170"/>
    </row>
    <row r="50" spans="1:33" ht="15.75" customHeight="1">
      <c r="A50" s="178" t="s">
        <v>702</v>
      </c>
      <c r="B50" s="35" t="s">
        <v>78</v>
      </c>
      <c r="C50" s="174" t="s">
        <v>119</v>
      </c>
      <c r="D50" s="175"/>
      <c r="E50" s="35">
        <v>54.29</v>
      </c>
      <c r="F50" s="38">
        <v>1222</v>
      </c>
      <c r="G50" s="4">
        <f t="shared" si="35"/>
        <v>66342.38</v>
      </c>
      <c r="H50" s="21" t="s">
        <v>133</v>
      </c>
      <c r="I50" s="15">
        <v>20</v>
      </c>
      <c r="J50" s="17">
        <v>2000</v>
      </c>
      <c r="K50" s="16">
        <f t="shared" si="1"/>
        <v>100</v>
      </c>
      <c r="L50" s="15">
        <v>20</v>
      </c>
      <c r="M50" s="17">
        <f t="shared" si="36"/>
        <v>1929.4736842105249</v>
      </c>
      <c r="N50" s="17">
        <f t="shared" si="3"/>
        <v>96.473684210526244</v>
      </c>
      <c r="O50" s="18">
        <f t="shared" si="4"/>
        <v>0</v>
      </c>
      <c r="P50" s="19">
        <f t="shared" si="5"/>
        <v>-3.526315789473756</v>
      </c>
      <c r="Q50" s="20">
        <f t="shared" si="6"/>
        <v>0.96473684210526245</v>
      </c>
      <c r="R50" s="170"/>
      <c r="S50" s="27">
        <v>0.74375000000000002</v>
      </c>
      <c r="T50" s="27">
        <v>0.77013888888888893</v>
      </c>
      <c r="U50" s="4">
        <f t="shared" si="38"/>
        <v>7.9999999999999716</v>
      </c>
      <c r="V50" s="21">
        <f t="shared" si="37"/>
        <v>38.000000000000028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-70.52631578947512</v>
      </c>
      <c r="AF50" s="20">
        <f t="shared" si="9"/>
        <v>0.96473684210526245</v>
      </c>
      <c r="AG50" s="170"/>
    </row>
    <row r="51" spans="1:33" ht="15.75" customHeight="1">
      <c r="A51" s="178" t="s">
        <v>72</v>
      </c>
      <c r="B51" s="35" t="s">
        <v>78</v>
      </c>
      <c r="C51" s="174" t="s">
        <v>120</v>
      </c>
      <c r="D51" s="175"/>
      <c r="E51" s="35">
        <v>55.56</v>
      </c>
      <c r="F51" s="38">
        <v>1739</v>
      </c>
      <c r="G51" s="4">
        <f t="shared" si="35"/>
        <v>96618.840000000011</v>
      </c>
      <c r="H51" s="21" t="s">
        <v>133</v>
      </c>
      <c r="I51" s="15">
        <v>17</v>
      </c>
      <c r="J51" s="17">
        <v>2000</v>
      </c>
      <c r="K51" s="16">
        <f t="shared" si="1"/>
        <v>117.64705882352941</v>
      </c>
      <c r="L51" s="15">
        <v>17</v>
      </c>
      <c r="M51" s="17">
        <f t="shared" si="36"/>
        <v>1932.2222222222235</v>
      </c>
      <c r="N51" s="17">
        <f t="shared" si="3"/>
        <v>113.66013071895432</v>
      </c>
      <c r="O51" s="18">
        <f t="shared" si="4"/>
        <v>0</v>
      </c>
      <c r="P51" s="19">
        <f t="shared" si="5"/>
        <v>-3.9869281045750853</v>
      </c>
      <c r="Q51" s="20">
        <f t="shared" si="6"/>
        <v>0.96611111111111181</v>
      </c>
      <c r="R51" s="170"/>
      <c r="S51" s="27">
        <v>0.77361111111111114</v>
      </c>
      <c r="T51" s="27">
        <v>0.81111111111111112</v>
      </c>
      <c r="U51" s="4">
        <f t="shared" si="38"/>
        <v>4.9999999999999822</v>
      </c>
      <c r="V51" s="21">
        <f t="shared" si="37"/>
        <v>53.999999999999972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8"/>
        <v>-67.777777777776464</v>
      </c>
      <c r="AF51" s="20">
        <f t="shared" si="9"/>
        <v>0.96611111111111181</v>
      </c>
      <c r="AG51" s="170"/>
    </row>
    <row r="52" spans="1:33" ht="15.75" customHeight="1">
      <c r="A52" s="178" t="s">
        <v>702</v>
      </c>
      <c r="B52" s="35" t="s">
        <v>78</v>
      </c>
      <c r="C52" s="174" t="s">
        <v>121</v>
      </c>
      <c r="D52" s="175"/>
      <c r="E52" s="35">
        <v>55.32</v>
      </c>
      <c r="F52" s="38">
        <v>1223</v>
      </c>
      <c r="G52" s="4">
        <f t="shared" si="35"/>
        <v>67656.36</v>
      </c>
      <c r="H52" s="21" t="s">
        <v>133</v>
      </c>
      <c r="I52" s="15">
        <v>15</v>
      </c>
      <c r="J52" s="17">
        <v>2000</v>
      </c>
      <c r="K52" s="16">
        <f t="shared" si="1"/>
        <v>133.33333333333334</v>
      </c>
      <c r="L52" s="15">
        <v>15</v>
      </c>
      <c r="M52" s="17">
        <f t="shared" si="36"/>
        <v>1931.0526315789459</v>
      </c>
      <c r="N52" s="17">
        <f t="shared" si="3"/>
        <v>128.73684210526307</v>
      </c>
      <c r="O52" s="18">
        <f t="shared" si="4"/>
        <v>0</v>
      </c>
      <c r="P52" s="19">
        <f t="shared" si="5"/>
        <v>-4.5964912280702777</v>
      </c>
      <c r="Q52" s="20">
        <f t="shared" si="6"/>
        <v>0.9655263157894729</v>
      </c>
      <c r="R52" s="170"/>
      <c r="S52" s="27">
        <v>0.81597222222222221</v>
      </c>
      <c r="T52" s="27">
        <v>0.84236111111111112</v>
      </c>
      <c r="U52" s="4">
        <f t="shared" si="38"/>
        <v>6.9999999999999751</v>
      </c>
      <c r="V52" s="21">
        <f t="shared" si="37"/>
        <v>38.000000000000028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-68.94736842105408</v>
      </c>
      <c r="AF52" s="20">
        <f t="shared" si="9"/>
        <v>0.96552631578947301</v>
      </c>
      <c r="AG52" s="170"/>
    </row>
    <row r="53" spans="1:33">
      <c r="A53" s="179" t="s">
        <v>702</v>
      </c>
      <c r="B53" s="35" t="s">
        <v>48</v>
      </c>
      <c r="C53" s="171"/>
      <c r="D53" s="171"/>
      <c r="E53" s="36"/>
      <c r="F53" s="16"/>
      <c r="G53" s="16"/>
      <c r="H53" s="4"/>
      <c r="I53" s="29">
        <v>18.875</v>
      </c>
      <c r="J53" s="17">
        <v>1937.5</v>
      </c>
      <c r="K53" s="16">
        <f t="shared" si="1"/>
        <v>102.64900662251655</v>
      </c>
      <c r="L53" s="29">
        <v>18.875</v>
      </c>
      <c r="M53" s="17">
        <f>AVERAGE(M45:M52)</f>
        <v>1850.6399630799679</v>
      </c>
      <c r="N53" s="16">
        <f t="shared" si="3"/>
        <v>98.047150361852601</v>
      </c>
      <c r="O53" s="18">
        <f t="shared" si="4"/>
        <v>0</v>
      </c>
      <c r="P53" s="19">
        <f t="shared" si="5"/>
        <v>-4.6018562606639506</v>
      </c>
      <c r="Q53" s="20">
        <f t="shared" si="6"/>
        <v>0.95516901320256409</v>
      </c>
      <c r="R53" s="170"/>
      <c r="S53" s="27"/>
      <c r="T53" s="27"/>
      <c r="U53" s="4"/>
      <c r="V53" s="21"/>
      <c r="W53" s="16"/>
      <c r="X53" s="16"/>
      <c r="Y53" s="30">
        <f>SUM(Y45:Y52)</f>
        <v>0</v>
      </c>
      <c r="Z53" s="30">
        <f>SUM(Z45:Z52)</f>
        <v>0</v>
      </c>
      <c r="AA53" s="166"/>
      <c r="AB53" s="166"/>
      <c r="AC53" s="30">
        <v>8</v>
      </c>
      <c r="AD53" s="30">
        <f>SUM(AD45:AD52)</f>
        <v>0</v>
      </c>
      <c r="AE53" s="18">
        <f>M53-J53</f>
        <v>-86.860036920032144</v>
      </c>
      <c r="AF53" s="20">
        <f t="shared" si="9"/>
        <v>0.95516901320256409</v>
      </c>
      <c r="AG53" s="170"/>
    </row>
    <row r="54" spans="1:33" ht="15.75" customHeight="1">
      <c r="A54" s="172" t="s">
        <v>703</v>
      </c>
      <c r="B54" s="4" t="s">
        <v>84</v>
      </c>
      <c r="C54" s="163" t="s">
        <v>122</v>
      </c>
      <c r="D54" s="163"/>
      <c r="E54" s="35">
        <v>26.97</v>
      </c>
      <c r="F54" s="38">
        <v>2001</v>
      </c>
      <c r="G54" s="4">
        <f t="shared" ref="G54:G58" si="39">E54*F54</f>
        <v>53966.97</v>
      </c>
      <c r="H54" s="21" t="s">
        <v>133</v>
      </c>
      <c r="I54" s="15">
        <v>8</v>
      </c>
      <c r="J54" s="17">
        <v>1500</v>
      </c>
      <c r="K54" s="16">
        <f t="shared" si="1"/>
        <v>187.5</v>
      </c>
      <c r="L54" s="15">
        <v>8</v>
      </c>
      <c r="M54" s="17">
        <f t="shared" ref="M54:M58" si="40">F54/V54*60</f>
        <v>1429.2857142857147</v>
      </c>
      <c r="N54" s="16">
        <f t="shared" si="3"/>
        <v>178.66071428571433</v>
      </c>
      <c r="O54" s="18">
        <f t="shared" si="4"/>
        <v>0</v>
      </c>
      <c r="P54" s="19">
        <f t="shared" si="5"/>
        <v>-8.8392857142856656</v>
      </c>
      <c r="Q54" s="20">
        <f t="shared" si="6"/>
        <v>0.95285714285714307</v>
      </c>
      <c r="R54" s="170">
        <f>Q59</f>
        <v>0.95551303551984745</v>
      </c>
      <c r="S54" s="27">
        <v>0.20833333333333334</v>
      </c>
      <c r="T54" s="27">
        <v>0.26666666666666666</v>
      </c>
      <c r="U54" s="4"/>
      <c r="V54" s="21">
        <f t="shared" ref="V54:V58" si="41">(T54-S54)*24*60</f>
        <v>83.999999999999986</v>
      </c>
      <c r="W54" s="27"/>
      <c r="X54" s="27"/>
      <c r="Y54" s="27"/>
      <c r="Z54" s="27"/>
      <c r="AA54" s="162"/>
      <c r="AB54" s="162"/>
      <c r="AC54" s="24">
        <v>5</v>
      </c>
      <c r="AD54" s="24"/>
      <c r="AE54" s="18">
        <f t="shared" ref="AE54:AE64" si="42">M54-J54</f>
        <v>-70.714285714285325</v>
      </c>
      <c r="AF54" s="20">
        <f t="shared" si="9"/>
        <v>0.95285714285714307</v>
      </c>
      <c r="AG54" s="170">
        <f>AF59</f>
        <v>0.95551303551984734</v>
      </c>
    </row>
    <row r="55" spans="1:33" ht="15.75" customHeight="1">
      <c r="A55" s="172" t="s">
        <v>703</v>
      </c>
      <c r="B55" s="4" t="s">
        <v>84</v>
      </c>
      <c r="C55" s="163" t="s">
        <v>123</v>
      </c>
      <c r="D55" s="163"/>
      <c r="E55" s="35">
        <v>27.4</v>
      </c>
      <c r="F55" s="38">
        <v>553</v>
      </c>
      <c r="G55" s="4">
        <f t="shared" si="39"/>
        <v>15152.199999999999</v>
      </c>
      <c r="H55" s="21" t="s">
        <v>133</v>
      </c>
      <c r="I55" s="15">
        <v>10</v>
      </c>
      <c r="J55" s="17">
        <v>1500</v>
      </c>
      <c r="K55" s="16">
        <f t="shared" si="1"/>
        <v>150</v>
      </c>
      <c r="L55" s="15">
        <v>10</v>
      </c>
      <c r="M55" s="17">
        <f t="shared" si="40"/>
        <v>1442.608695652174</v>
      </c>
      <c r="N55" s="16">
        <f t="shared" si="3"/>
        <v>144.2608695652174</v>
      </c>
      <c r="O55" s="18">
        <f t="shared" si="4"/>
        <v>0</v>
      </c>
      <c r="P55" s="19">
        <f t="shared" si="5"/>
        <v>-5.7391304347825951</v>
      </c>
      <c r="Q55" s="20">
        <f t="shared" si="6"/>
        <v>0.96173913043478265</v>
      </c>
      <c r="R55" s="170"/>
      <c r="S55" s="27">
        <v>0.27083333333333331</v>
      </c>
      <c r="T55" s="27">
        <v>0.28680555555555554</v>
      </c>
      <c r="U55" s="4">
        <f t="shared" ref="U55:U58" si="43">(S55-T54)*24*60</f>
        <v>5.9999999999999787</v>
      </c>
      <c r="V55" s="21">
        <f t="shared" si="41"/>
        <v>23</v>
      </c>
      <c r="W55" s="4"/>
      <c r="X55" s="4"/>
      <c r="Y55" s="4"/>
      <c r="Z55" s="4"/>
      <c r="AA55" s="162"/>
      <c r="AB55" s="162"/>
      <c r="AC55" s="24"/>
      <c r="AD55" s="24"/>
      <c r="AE55" s="18">
        <f t="shared" si="42"/>
        <v>-57.391304347826008</v>
      </c>
      <c r="AF55" s="20">
        <f t="shared" si="9"/>
        <v>0.96173913043478265</v>
      </c>
      <c r="AG55" s="170"/>
    </row>
    <row r="56" spans="1:33" ht="15.75" customHeight="1">
      <c r="A56" s="172" t="s">
        <v>507</v>
      </c>
      <c r="B56" s="4" t="s">
        <v>108</v>
      </c>
      <c r="C56" s="163" t="s">
        <v>125</v>
      </c>
      <c r="D56" s="163"/>
      <c r="E56" s="35">
        <v>37.85</v>
      </c>
      <c r="F56" s="38">
        <v>1617</v>
      </c>
      <c r="G56" s="4">
        <f t="shared" si="39"/>
        <v>61203.450000000004</v>
      </c>
      <c r="H56" s="21" t="s">
        <v>133</v>
      </c>
      <c r="I56" s="15">
        <v>12</v>
      </c>
      <c r="J56" s="17">
        <v>2000</v>
      </c>
      <c r="K56" s="16">
        <f t="shared" si="1"/>
        <v>166.66666666666666</v>
      </c>
      <c r="L56" s="15">
        <v>12</v>
      </c>
      <c r="M56" s="17">
        <f t="shared" si="40"/>
        <v>1902.3529411764712</v>
      </c>
      <c r="N56" s="16">
        <f t="shared" si="3"/>
        <v>158.52941176470594</v>
      </c>
      <c r="O56" s="18">
        <f t="shared" si="4"/>
        <v>0</v>
      </c>
      <c r="P56" s="19">
        <f t="shared" si="5"/>
        <v>-8.1372549019607163</v>
      </c>
      <c r="Q56" s="20">
        <f t="shared" si="6"/>
        <v>0.95117647058823573</v>
      </c>
      <c r="R56" s="170"/>
      <c r="S56" s="27">
        <v>0.29097222222222219</v>
      </c>
      <c r="T56" s="27">
        <v>0.32638888888888884</v>
      </c>
      <c r="U56" s="4">
        <f t="shared" si="43"/>
        <v>5.9999999999999787</v>
      </c>
      <c r="V56" s="21">
        <f t="shared" si="41"/>
        <v>50.999999999999979</v>
      </c>
      <c r="W56" s="4"/>
      <c r="X56" s="4"/>
      <c r="Y56" s="4"/>
      <c r="Z56" s="4"/>
      <c r="AA56" s="162"/>
      <c r="AB56" s="162"/>
      <c r="AC56" s="24"/>
      <c r="AD56" s="24"/>
      <c r="AE56" s="18">
        <f t="shared" si="42"/>
        <v>-97.647058823528823</v>
      </c>
      <c r="AF56" s="20">
        <f t="shared" si="9"/>
        <v>0.95117647058823562</v>
      </c>
      <c r="AG56" s="170"/>
    </row>
    <row r="57" spans="1:33" ht="15.75" customHeight="1">
      <c r="A57" s="172" t="s">
        <v>703</v>
      </c>
      <c r="B57" s="4" t="s">
        <v>108</v>
      </c>
      <c r="C57" s="163" t="s">
        <v>126</v>
      </c>
      <c r="D57" s="163"/>
      <c r="E57" s="35">
        <v>34.36</v>
      </c>
      <c r="F57" s="38">
        <v>1438</v>
      </c>
      <c r="G57" s="4">
        <f t="shared" si="39"/>
        <v>49409.68</v>
      </c>
      <c r="H57" s="21" t="s">
        <v>133</v>
      </c>
      <c r="I57" s="15">
        <v>10</v>
      </c>
      <c r="J57" s="17">
        <v>3000</v>
      </c>
      <c r="K57" s="16">
        <f t="shared" si="1"/>
        <v>300</v>
      </c>
      <c r="L57" s="15">
        <v>10</v>
      </c>
      <c r="M57" s="17">
        <f t="shared" si="40"/>
        <v>2876.0000000000027</v>
      </c>
      <c r="N57" s="16">
        <f t="shared" si="3"/>
        <v>287.60000000000025</v>
      </c>
      <c r="O57" s="18">
        <f t="shared" si="4"/>
        <v>0</v>
      </c>
      <c r="P57" s="19">
        <f t="shared" si="5"/>
        <v>-12.39999999999975</v>
      </c>
      <c r="Q57" s="20">
        <f t="shared" si="6"/>
        <v>0.95866666666666756</v>
      </c>
      <c r="R57" s="170"/>
      <c r="S57" s="27">
        <v>0.33055555555555549</v>
      </c>
      <c r="T57" s="27">
        <v>0.35138888888888881</v>
      </c>
      <c r="U57" s="4">
        <f t="shared" si="43"/>
        <v>5.9999999999999787</v>
      </c>
      <c r="V57" s="21">
        <f t="shared" si="41"/>
        <v>29.999999999999972</v>
      </c>
      <c r="W57" s="4"/>
      <c r="X57" s="4"/>
      <c r="Y57" s="4"/>
      <c r="Z57" s="4"/>
      <c r="AA57" s="162"/>
      <c r="AB57" s="162"/>
      <c r="AC57" s="24"/>
      <c r="AD57" s="24"/>
      <c r="AE57" s="18">
        <f t="shared" si="42"/>
        <v>-123.99999999999727</v>
      </c>
      <c r="AF57" s="20">
        <f t="shared" si="9"/>
        <v>0.95866666666666756</v>
      </c>
      <c r="AG57" s="170"/>
    </row>
    <row r="58" spans="1:33">
      <c r="A58" s="173" t="s">
        <v>507</v>
      </c>
      <c r="B58" s="4" t="s">
        <v>108</v>
      </c>
      <c r="C58" s="163" t="s">
        <v>127</v>
      </c>
      <c r="D58" s="163"/>
      <c r="E58" s="35">
        <v>35.119999999999997</v>
      </c>
      <c r="F58" s="38">
        <v>4815</v>
      </c>
      <c r="G58" s="4">
        <f t="shared" si="39"/>
        <v>169102.8</v>
      </c>
      <c r="H58" s="21" t="s">
        <v>133</v>
      </c>
      <c r="I58" s="15">
        <v>10</v>
      </c>
      <c r="J58" s="17">
        <v>3000</v>
      </c>
      <c r="K58" s="16">
        <f t="shared" si="1"/>
        <v>300</v>
      </c>
      <c r="L58" s="15">
        <v>10</v>
      </c>
      <c r="M58" s="17">
        <f t="shared" si="40"/>
        <v>2860.3960396039593</v>
      </c>
      <c r="N58" s="16">
        <f t="shared" si="3"/>
        <v>286.03960396039594</v>
      </c>
      <c r="O58" s="18">
        <f t="shared" si="4"/>
        <v>0</v>
      </c>
      <c r="P58" s="19">
        <f t="shared" si="5"/>
        <v>-13.960396039604063</v>
      </c>
      <c r="Q58" s="20">
        <f t="shared" si="6"/>
        <v>0.95346534653465309</v>
      </c>
      <c r="R58" s="170"/>
      <c r="S58" s="27">
        <v>0.35694444444444434</v>
      </c>
      <c r="T58" s="27">
        <v>0.42708333333333326</v>
      </c>
      <c r="U58" s="4">
        <f t="shared" si="43"/>
        <v>7.9999999999999716</v>
      </c>
      <c r="V58" s="21">
        <f t="shared" si="41"/>
        <v>101.00000000000004</v>
      </c>
      <c r="W58" s="22"/>
      <c r="X58" s="22"/>
      <c r="Y58" s="22"/>
      <c r="Z58" s="22"/>
      <c r="AA58" s="162"/>
      <c r="AB58" s="162"/>
      <c r="AC58" s="24"/>
      <c r="AD58" s="24"/>
      <c r="AE58" s="18">
        <f t="shared" si="42"/>
        <v>-139.60396039604075</v>
      </c>
      <c r="AF58" s="20">
        <f t="shared" si="9"/>
        <v>0.95346534653465309</v>
      </c>
      <c r="AG58" s="170"/>
    </row>
    <row r="59" spans="1:33">
      <c r="A59" s="173" t="s">
        <v>703</v>
      </c>
      <c r="B59" s="35" t="s">
        <v>701</v>
      </c>
      <c r="C59" s="171"/>
      <c r="D59" s="171"/>
      <c r="E59" s="36"/>
      <c r="F59" s="16"/>
      <c r="G59" s="16"/>
      <c r="H59" s="4"/>
      <c r="I59" s="29">
        <v>10</v>
      </c>
      <c r="J59" s="17">
        <v>2200</v>
      </c>
      <c r="K59" s="16">
        <f t="shared" si="1"/>
        <v>220</v>
      </c>
      <c r="L59" s="29">
        <v>10</v>
      </c>
      <c r="M59" s="17">
        <f>AVERAGE(M54:M58)</f>
        <v>2102.1286781436643</v>
      </c>
      <c r="N59" s="16">
        <f t="shared" si="3"/>
        <v>210.21286781436643</v>
      </c>
      <c r="O59" s="18">
        <f t="shared" si="4"/>
        <v>0</v>
      </c>
      <c r="P59" s="19">
        <f t="shared" si="5"/>
        <v>-9.7871321856335669</v>
      </c>
      <c r="Q59" s="20">
        <f t="shared" si="6"/>
        <v>0.95551303551984745</v>
      </c>
      <c r="R59" s="170"/>
      <c r="S59" s="27"/>
      <c r="T59" s="27"/>
      <c r="U59" s="16"/>
      <c r="V59" s="21"/>
      <c r="W59" s="16"/>
      <c r="X59" s="16"/>
      <c r="Y59" s="30">
        <f>SUM(Y54:Y58)</f>
        <v>0</v>
      </c>
      <c r="Z59" s="30">
        <f>SUM(Z54:Z58)</f>
        <v>0</v>
      </c>
      <c r="AA59" s="166"/>
      <c r="AB59" s="166"/>
      <c r="AC59" s="30">
        <v>5</v>
      </c>
      <c r="AD59" s="30">
        <f>SUM(AD54:AD58)</f>
        <v>0</v>
      </c>
      <c r="AE59" s="18">
        <f t="shared" si="42"/>
        <v>-97.871321856335726</v>
      </c>
      <c r="AF59" s="20">
        <f t="shared" si="9"/>
        <v>0.95551303551984734</v>
      </c>
      <c r="AG59" s="170"/>
    </row>
    <row r="60" spans="1:33" ht="15.75" customHeight="1">
      <c r="A60" s="167" t="s">
        <v>704</v>
      </c>
      <c r="B60" s="4" t="s">
        <v>97</v>
      </c>
      <c r="C60" s="163" t="s">
        <v>128</v>
      </c>
      <c r="D60" s="163"/>
      <c r="E60" s="35">
        <v>20.2</v>
      </c>
      <c r="F60" s="4">
        <v>1616</v>
      </c>
      <c r="G60" s="4">
        <f t="shared" ref="G60:G63" si="44">E60*F60</f>
        <v>32643.199999999997</v>
      </c>
      <c r="H60" s="21" t="s">
        <v>133</v>
      </c>
      <c r="I60" s="15">
        <v>15</v>
      </c>
      <c r="J60" s="17">
        <v>2400</v>
      </c>
      <c r="K60" s="16">
        <f t="shared" si="1"/>
        <v>160</v>
      </c>
      <c r="L60" s="15">
        <v>15</v>
      </c>
      <c r="M60" s="17">
        <f t="shared" ref="M60:M63" si="45">F60/V60*60</f>
        <v>2308.5714285714289</v>
      </c>
      <c r="N60" s="16">
        <f t="shared" si="3"/>
        <v>153.90476190476193</v>
      </c>
      <c r="O60" s="18">
        <f t="shared" si="4"/>
        <v>0</v>
      </c>
      <c r="P60" s="19">
        <f t="shared" si="5"/>
        <v>-6.0952380952380736</v>
      </c>
      <c r="Q60" s="20">
        <f t="shared" si="6"/>
        <v>0.96190476190476204</v>
      </c>
      <c r="R60" s="170">
        <f>Q64</f>
        <v>0.95839284582298601</v>
      </c>
      <c r="S60" s="27">
        <v>8.3333333333333329E-2</v>
      </c>
      <c r="T60" s="27">
        <v>0.11249999999999999</v>
      </c>
      <c r="U60" s="27"/>
      <c r="V60" s="21">
        <f t="shared" ref="V60:V63" si="46">(T60-S60)*24*60</f>
        <v>41.999999999999993</v>
      </c>
      <c r="W60" s="22">
        <f>T60</f>
        <v>0.11249999999999999</v>
      </c>
      <c r="X60" s="22">
        <f>S61</f>
        <v>0.13402777777777777</v>
      </c>
      <c r="Y60" s="22"/>
      <c r="Z60" s="22"/>
      <c r="AA60" s="162"/>
      <c r="AB60" s="162"/>
      <c r="AC60" s="24">
        <v>4</v>
      </c>
      <c r="AD60" s="24"/>
      <c r="AE60" s="18">
        <f t="shared" si="42"/>
        <v>-91.428571428571104</v>
      </c>
      <c r="AF60" s="20">
        <f t="shared" si="9"/>
        <v>0.96190476190476204</v>
      </c>
      <c r="AG60" s="170">
        <f>AF64</f>
        <v>0.95839284582298601</v>
      </c>
    </row>
    <row r="61" spans="1:33" ht="15.75" customHeight="1">
      <c r="A61" s="168" t="s">
        <v>704</v>
      </c>
      <c r="B61" s="4" t="s">
        <v>97</v>
      </c>
      <c r="C61" s="163" t="s">
        <v>129</v>
      </c>
      <c r="D61" s="163"/>
      <c r="E61" s="35">
        <v>24.45</v>
      </c>
      <c r="F61" s="4">
        <v>2202</v>
      </c>
      <c r="G61" s="4">
        <f t="shared" si="44"/>
        <v>53838.9</v>
      </c>
      <c r="H61" s="21" t="s">
        <v>133</v>
      </c>
      <c r="I61" s="15">
        <v>19</v>
      </c>
      <c r="J61" s="17">
        <v>2400</v>
      </c>
      <c r="K61" s="16">
        <f t="shared" si="1"/>
        <v>126.31578947368421</v>
      </c>
      <c r="L61" s="15">
        <v>19</v>
      </c>
      <c r="M61" s="17">
        <f t="shared" si="45"/>
        <v>2317.894736842105</v>
      </c>
      <c r="N61" s="16">
        <f t="shared" si="3"/>
        <v>121.99445983379501</v>
      </c>
      <c r="O61" s="18">
        <f t="shared" si="4"/>
        <v>0</v>
      </c>
      <c r="P61" s="19">
        <f t="shared" si="5"/>
        <v>-4.3213296398891998</v>
      </c>
      <c r="Q61" s="20">
        <f t="shared" si="6"/>
        <v>0.96578947368421053</v>
      </c>
      <c r="R61" s="170"/>
      <c r="S61" s="27">
        <v>0.13402777777777777</v>
      </c>
      <c r="T61" s="27">
        <v>0.1736111111111111</v>
      </c>
      <c r="U61" s="4">
        <f t="shared" ref="U61:U63" si="47">(S61-T60)*24*60</f>
        <v>31.000000000000011</v>
      </c>
      <c r="V61" s="21">
        <f t="shared" si="46"/>
        <v>57</v>
      </c>
      <c r="W61" s="22"/>
      <c r="X61" s="22"/>
      <c r="Y61" s="22"/>
      <c r="Z61" s="22"/>
      <c r="AA61" s="162"/>
      <c r="AB61" s="162"/>
      <c r="AC61" s="24"/>
      <c r="AD61" s="24"/>
      <c r="AE61" s="18">
        <f t="shared" si="42"/>
        <v>-82.105263157895024</v>
      </c>
      <c r="AF61" s="20">
        <f t="shared" si="9"/>
        <v>0.96578947368421042</v>
      </c>
      <c r="AG61" s="170"/>
    </row>
    <row r="62" spans="1:33" ht="15.75" customHeight="1">
      <c r="A62" s="168" t="s">
        <v>704</v>
      </c>
      <c r="B62" s="4" t="s">
        <v>97</v>
      </c>
      <c r="C62" s="163" t="s">
        <v>130</v>
      </c>
      <c r="D62" s="163"/>
      <c r="E62" s="35">
        <v>24.43</v>
      </c>
      <c r="F62" s="4">
        <v>5416</v>
      </c>
      <c r="G62" s="4">
        <f t="shared" si="44"/>
        <v>132312.88</v>
      </c>
      <c r="H62" s="21" t="s">
        <v>133</v>
      </c>
      <c r="I62" s="15">
        <v>14</v>
      </c>
      <c r="J62" s="17">
        <v>2400</v>
      </c>
      <c r="K62" s="16">
        <f t="shared" si="1"/>
        <v>171.42857142857142</v>
      </c>
      <c r="L62" s="15">
        <v>14</v>
      </c>
      <c r="M62" s="17">
        <f t="shared" si="45"/>
        <v>2288.4507042253517</v>
      </c>
      <c r="N62" s="16">
        <f t="shared" si="3"/>
        <v>163.46076458752512</v>
      </c>
      <c r="O62" s="18">
        <f t="shared" si="4"/>
        <v>0</v>
      </c>
      <c r="P62" s="19">
        <f t="shared" si="5"/>
        <v>-7.967806841046297</v>
      </c>
      <c r="Q62" s="20">
        <f t="shared" si="6"/>
        <v>0.95352112676056322</v>
      </c>
      <c r="R62" s="170"/>
      <c r="S62" s="27">
        <v>0.17777777777777778</v>
      </c>
      <c r="T62" s="27">
        <v>0.27638888888888891</v>
      </c>
      <c r="U62" s="4">
        <f t="shared" si="47"/>
        <v>6.0000000000000187</v>
      </c>
      <c r="V62" s="21">
        <f t="shared" si="46"/>
        <v>142.00000000000003</v>
      </c>
      <c r="W62" s="22"/>
      <c r="X62" s="22"/>
      <c r="Y62" s="22"/>
      <c r="Z62" s="22"/>
      <c r="AA62" s="162"/>
      <c r="AB62" s="162"/>
      <c r="AC62" s="24"/>
      <c r="AD62" s="24"/>
      <c r="AE62" s="18">
        <f t="shared" si="42"/>
        <v>-111.54929577464827</v>
      </c>
      <c r="AF62" s="20">
        <f t="shared" si="9"/>
        <v>0.95352112676056322</v>
      </c>
      <c r="AG62" s="170"/>
    </row>
    <row r="63" spans="1:33" ht="15.75" customHeight="1">
      <c r="A63" s="168" t="s">
        <v>75</v>
      </c>
      <c r="B63" s="4" t="s">
        <v>97</v>
      </c>
      <c r="C63" s="163" t="s">
        <v>132</v>
      </c>
      <c r="D63" s="163"/>
      <c r="E63" s="35">
        <v>19.02</v>
      </c>
      <c r="F63" s="4">
        <v>7276</v>
      </c>
      <c r="G63" s="4">
        <f t="shared" si="44"/>
        <v>138389.51999999999</v>
      </c>
      <c r="H63" s="21" t="s">
        <v>133</v>
      </c>
      <c r="I63" s="15">
        <v>14</v>
      </c>
      <c r="J63" s="17">
        <v>2400</v>
      </c>
      <c r="K63" s="16">
        <f t="shared" si="1"/>
        <v>171.42857142857142</v>
      </c>
      <c r="L63" s="15">
        <v>14</v>
      </c>
      <c r="M63" s="17">
        <f t="shared" si="45"/>
        <v>2285.6544502617803</v>
      </c>
      <c r="N63" s="16">
        <f t="shared" si="3"/>
        <v>163.26103216155573</v>
      </c>
      <c r="O63" s="18">
        <f t="shared" si="4"/>
        <v>0</v>
      </c>
      <c r="P63" s="19">
        <f t="shared" si="5"/>
        <v>-8.1675392670156839</v>
      </c>
      <c r="Q63" s="20">
        <f t="shared" si="6"/>
        <v>0.95235602094240845</v>
      </c>
      <c r="R63" s="170"/>
      <c r="S63" s="27">
        <v>0.28055555555555556</v>
      </c>
      <c r="T63" s="27">
        <v>0.41319444444444442</v>
      </c>
      <c r="U63" s="4">
        <f t="shared" si="47"/>
        <v>5.9999999999999787</v>
      </c>
      <c r="V63" s="21">
        <f t="shared" si="46"/>
        <v>190.99999999999997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2"/>
        <v>-114.34554973821969</v>
      </c>
      <c r="AF63" s="20">
        <f t="shared" si="9"/>
        <v>0.95235602094240845</v>
      </c>
      <c r="AG63" s="170"/>
    </row>
    <row r="64" spans="1:33" ht="16.5" customHeight="1">
      <c r="A64" s="169" t="s">
        <v>704</v>
      </c>
      <c r="B64" s="35" t="s">
        <v>701</v>
      </c>
      <c r="C64" s="164"/>
      <c r="D64" s="165"/>
      <c r="E64" s="36"/>
      <c r="F64" s="16"/>
      <c r="G64" s="16"/>
      <c r="H64" s="4"/>
      <c r="I64" s="29">
        <v>15.5</v>
      </c>
      <c r="J64" s="17">
        <v>2400</v>
      </c>
      <c r="K64" s="16">
        <f t="shared" si="1"/>
        <v>154.83870967741936</v>
      </c>
      <c r="L64" s="29">
        <v>15.5</v>
      </c>
      <c r="M64" s="17">
        <f>AVERAGE(M60:M63)</f>
        <v>2300.1428299751665</v>
      </c>
      <c r="N64" s="16">
        <f t="shared" si="3"/>
        <v>148.39631161130106</v>
      </c>
      <c r="O64" s="18">
        <f t="shared" si="4"/>
        <v>0</v>
      </c>
      <c r="P64" s="19">
        <f t="shared" si="5"/>
        <v>-6.4423980661183009</v>
      </c>
      <c r="Q64" s="20">
        <f t="shared" si="6"/>
        <v>0.95839284582298601</v>
      </c>
      <c r="R64" s="170"/>
      <c r="S64" s="27"/>
      <c r="T64" s="27"/>
      <c r="U64" s="16"/>
      <c r="V64" s="21"/>
      <c r="W64" s="16"/>
      <c r="X64" s="16"/>
      <c r="Y64" s="30">
        <f>SUM(Y60:Y63)</f>
        <v>0</v>
      </c>
      <c r="Z64" s="30">
        <f>SUM(Z60:Z63)</f>
        <v>0</v>
      </c>
      <c r="AA64" s="166"/>
      <c r="AB64" s="166"/>
      <c r="AC64" s="30">
        <v>4</v>
      </c>
      <c r="AD64" s="30">
        <f>SUM(AD60:AD63)</f>
        <v>0</v>
      </c>
      <c r="AE64" s="18">
        <f t="shared" si="42"/>
        <v>-99.857170024833522</v>
      </c>
      <c r="AF64" s="20">
        <f t="shared" si="9"/>
        <v>0.95839284582298601</v>
      </c>
      <c r="AG64" s="170"/>
    </row>
    <row r="65" spans="4:5">
      <c r="D65" s="41"/>
      <c r="E65" s="41"/>
    </row>
  </sheetData>
  <mergeCells count="181">
    <mergeCell ref="AA63:AB63"/>
    <mergeCell ref="C64:D64"/>
    <mergeCell ref="AA64:AB64"/>
    <mergeCell ref="A60:A64"/>
    <mergeCell ref="C60:D60"/>
    <mergeCell ref="R60:R64"/>
    <mergeCell ref="AA60:AB60"/>
    <mergeCell ref="AG60:AG64"/>
    <mergeCell ref="C61:D61"/>
    <mergeCell ref="AA61:AB61"/>
    <mergeCell ref="C62:D62"/>
    <mergeCell ref="AA62:AB62"/>
    <mergeCell ref="C63:D63"/>
    <mergeCell ref="A54:A59"/>
    <mergeCell ref="C54:D54"/>
    <mergeCell ref="R54:R59"/>
    <mergeCell ref="AA54:AB54"/>
    <mergeCell ref="A45:A53"/>
    <mergeCell ref="C45:D45"/>
    <mergeCell ref="R45:R53"/>
    <mergeCell ref="AA45:AB45"/>
    <mergeCell ref="AA51:AB51"/>
    <mergeCell ref="C52:D52"/>
    <mergeCell ref="AA52:AB52"/>
    <mergeCell ref="C53:D53"/>
    <mergeCell ref="AG54:AG59"/>
    <mergeCell ref="C55:D55"/>
    <mergeCell ref="AA55:AB55"/>
    <mergeCell ref="C56:D56"/>
    <mergeCell ref="AA56:AB56"/>
    <mergeCell ref="AG45:AG53"/>
    <mergeCell ref="C46:D46"/>
    <mergeCell ref="AA46:AB46"/>
    <mergeCell ref="C47:D47"/>
    <mergeCell ref="AA47:AB47"/>
    <mergeCell ref="AA48:AB48"/>
    <mergeCell ref="AA49:AB49"/>
    <mergeCell ref="C50:D50"/>
    <mergeCell ref="AA50:AB50"/>
    <mergeCell ref="C51:D51"/>
    <mergeCell ref="C57:D57"/>
    <mergeCell ref="AA57:AB57"/>
    <mergeCell ref="C58:D58"/>
    <mergeCell ref="AA58:AB58"/>
    <mergeCell ref="C59:D59"/>
    <mergeCell ref="AA59:AB59"/>
    <mergeCell ref="AA53:AB53"/>
    <mergeCell ref="AG38:AG44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C44:D44"/>
    <mergeCell ref="AA44:AB44"/>
    <mergeCell ref="A38:A44"/>
    <mergeCell ref="C38:D38"/>
    <mergeCell ref="R38:R44"/>
    <mergeCell ref="AA38:AB38"/>
    <mergeCell ref="AA43:AB43"/>
    <mergeCell ref="A32:A37"/>
    <mergeCell ref="C32:D32"/>
    <mergeCell ref="R32:R37"/>
    <mergeCell ref="AA32:AB32"/>
    <mergeCell ref="AG32:AG37"/>
    <mergeCell ref="C33:D33"/>
    <mergeCell ref="AA33:AB33"/>
    <mergeCell ref="C34:D34"/>
    <mergeCell ref="AA34:AB34"/>
    <mergeCell ref="C35:D35"/>
    <mergeCell ref="AA28:AB28"/>
    <mergeCell ref="C29:D29"/>
    <mergeCell ref="AA29:AB29"/>
    <mergeCell ref="C30:D30"/>
    <mergeCell ref="AA30:AB30"/>
    <mergeCell ref="C31:D31"/>
    <mergeCell ref="AA31:AB31"/>
    <mergeCell ref="AA35:AB35"/>
    <mergeCell ref="C36:D36"/>
    <mergeCell ref="AA36:AB36"/>
    <mergeCell ref="C37:D37"/>
    <mergeCell ref="AA37:AB37"/>
    <mergeCell ref="A25:A31"/>
    <mergeCell ref="C25:D25"/>
    <mergeCell ref="R25:R31"/>
    <mergeCell ref="AA25:AB25"/>
    <mergeCell ref="AG25:AG31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14:A18"/>
    <mergeCell ref="C14:D14"/>
    <mergeCell ref="R14:R18"/>
    <mergeCell ref="AA14:AB14"/>
    <mergeCell ref="AG14:AG18"/>
    <mergeCell ref="C18:D18"/>
    <mergeCell ref="AA18:AB18"/>
    <mergeCell ref="A11:A13"/>
    <mergeCell ref="C11:D11"/>
    <mergeCell ref="R11:R13"/>
    <mergeCell ref="AA11:AB11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G5:AG10"/>
    <mergeCell ref="C6:D6"/>
    <mergeCell ref="AA6:AB6"/>
    <mergeCell ref="C10:D10"/>
    <mergeCell ref="AA10:AB10"/>
    <mergeCell ref="C7:D7"/>
    <mergeCell ref="AA7:AB7"/>
    <mergeCell ref="C8:D8"/>
    <mergeCell ref="AA8:AB8"/>
    <mergeCell ref="C9:D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H3:H4"/>
    <mergeCell ref="I3:I4"/>
    <mergeCell ref="AC3:AD3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64">
    <cfRule type="cellIs" dxfId="54" priority="9" operator="greaterThan">
      <formula>0</formula>
    </cfRule>
  </conditionalFormatting>
  <conditionalFormatting sqref="P5:P64">
    <cfRule type="cellIs" dxfId="53" priority="1" operator="lessThan">
      <formula>0</formula>
    </cfRule>
  </conditionalFormatting>
  <conditionalFormatting sqref="Q5:Q64 AF5:AF64">
    <cfRule type="cellIs" dxfId="52" priority="10" operator="greaterThan">
      <formula>1</formula>
    </cfRule>
    <cfRule type="cellIs" dxfId="51" priority="11" operator="lessThan">
      <formula>0.8</formula>
    </cfRule>
  </conditionalFormatting>
  <conditionalFormatting sqref="R5:R11 AG5:AG11">
    <cfRule type="cellIs" dxfId="50" priority="47" operator="lessThan">
      <formula>0.8</formula>
    </cfRule>
  </conditionalFormatting>
  <conditionalFormatting sqref="AE5:AE64">
    <cfRule type="cellIs" dxfId="49" priority="12" operator="lessThan">
      <formula>0</formula>
    </cfRule>
  </conditionalFormatting>
  <conditionalFormatting sqref="AG14:AG57 R14:R64">
    <cfRule type="cellIs" dxfId="48" priority="13" operator="lessThan">
      <formula>0.8</formula>
    </cfRule>
  </conditionalFormatting>
  <dataValidations count="1">
    <dataValidation type="list" allowBlank="1" showInputMessage="1" showErrorMessage="1" sqref="AB10 AA5:AB9 AB58 AA10:AA58 AB12:AB54 AA59:AB64" xr:uid="{00000000-0002-0000-3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Q32"/>
  <sheetViews>
    <sheetView zoomScale="85" zoomScaleNormal="85" workbookViewId="0">
      <selection activeCell="B24" sqref="B24:D24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510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511</v>
      </c>
      <c r="C3" s="151" t="str">
        <f>TEXT('0305 4度C'!A2,"yyyy.mm.ddaaaa")</f>
        <v>2026.03.05星期四</v>
      </c>
      <c r="D3" s="152"/>
      <c r="E3" s="45" t="s">
        <v>307</v>
      </c>
      <c r="F3" s="153">
        <f>'0305 4度C'!D1</f>
        <v>143975</v>
      </c>
      <c r="G3" s="154"/>
      <c r="H3" s="45" t="s">
        <v>512</v>
      </c>
      <c r="I3" s="155">
        <f>'0305 4度C'!F1</f>
        <v>4667835.6000000015</v>
      </c>
      <c r="J3" s="156"/>
      <c r="K3" s="46"/>
      <c r="L3" s="47"/>
      <c r="M3" s="47"/>
      <c r="N3" s="47"/>
    </row>
    <row r="4" spans="2:17" ht="28.5" customHeight="1">
      <c r="B4" s="157" t="s">
        <v>513</v>
      </c>
      <c r="C4" s="143" t="s">
        <v>514</v>
      </c>
      <c r="D4" s="144"/>
      <c r="E4" s="160" t="s">
        <v>515</v>
      </c>
      <c r="F4" s="161"/>
      <c r="G4" s="160" t="s">
        <v>516</v>
      </c>
      <c r="H4" s="161"/>
      <c r="I4" s="160" t="s">
        <v>517</v>
      </c>
      <c r="J4" s="161"/>
      <c r="K4" s="141" t="s">
        <v>518</v>
      </c>
      <c r="L4" s="142"/>
      <c r="M4" s="142" t="s">
        <v>312</v>
      </c>
      <c r="N4" s="142"/>
    </row>
    <row r="5" spans="2:17" ht="28.5" customHeight="1">
      <c r="B5" s="158"/>
      <c r="C5" s="143" t="s">
        <v>519</v>
      </c>
      <c r="D5" s="144"/>
      <c r="E5" s="143" t="s">
        <v>520</v>
      </c>
      <c r="F5" s="144"/>
      <c r="G5" s="145" t="s">
        <v>521</v>
      </c>
      <c r="H5" s="146"/>
      <c r="I5" s="147" t="s">
        <v>522</v>
      </c>
      <c r="J5" s="148"/>
      <c r="K5" s="48" t="s">
        <v>523</v>
      </c>
      <c r="L5" s="49" t="s">
        <v>524</v>
      </c>
      <c r="M5" s="48" t="s">
        <v>523</v>
      </c>
      <c r="N5" s="49" t="s">
        <v>525</v>
      </c>
    </row>
    <row r="6" spans="2:17" ht="28.5" customHeight="1">
      <c r="B6" s="158"/>
      <c r="C6" s="143" t="s">
        <v>153</v>
      </c>
      <c r="D6" s="144"/>
      <c r="E6" s="135">
        <f>AVERAGE(D13:M13)</f>
        <v>149.0882234489622</v>
      </c>
      <c r="F6" s="136">
        <f>AVERAGE(D31:O31,D13:J13)</f>
        <v>152.38234417812905</v>
      </c>
      <c r="G6" s="137">
        <f>AVERAGE(D13:J13)</f>
        <v>152.38234417812905</v>
      </c>
      <c r="H6" s="138"/>
      <c r="I6" s="137">
        <f>AVERAGE(K13:M13)</f>
        <v>141.40194174757281</v>
      </c>
      <c r="J6" s="138"/>
      <c r="K6" s="139">
        <f>'0305 4度C'!Y2</f>
        <v>0</v>
      </c>
      <c r="L6" s="124">
        <f>'0305 4度C'!Z2</f>
        <v>0</v>
      </c>
      <c r="M6" s="140">
        <f>'0305 4度C'!AC2</f>
        <v>53</v>
      </c>
      <c r="N6" s="124">
        <f>'0305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142.71348943560727</v>
      </c>
      <c r="F7" s="128">
        <f>AVERAGE(D32:O32,D14:J14)</f>
        <v>145.8939720572684</v>
      </c>
      <c r="G7" s="129">
        <f>AVERAGE(D14:J14)</f>
        <v>145.8939720572684</v>
      </c>
      <c r="H7" s="130"/>
      <c r="I7" s="129">
        <f>AVERAGE(K14:M14)</f>
        <v>135.29236331839797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0.95690235761458609</v>
      </c>
      <c r="F8" s="132">
        <f>AVERAGE(D15:J15,D33:O33)</f>
        <v>0.956937678598346</v>
      </c>
      <c r="G8" s="133">
        <f>AVERAGE(D15:J15)</f>
        <v>0.956937678598346</v>
      </c>
      <c r="H8" s="134"/>
      <c r="I8" s="133">
        <f>AVERAGE(K15:M15)</f>
        <v>0.95681994198581322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526</v>
      </c>
      <c r="N9" s="47"/>
      <c r="O9" s="47"/>
      <c r="P9" s="47"/>
      <c r="Q9" s="47"/>
    </row>
    <row r="10" spans="2:17" ht="30" customHeight="1">
      <c r="B10" s="107" t="s">
        <v>527</v>
      </c>
      <c r="C10" s="108"/>
      <c r="D10" s="109" t="s">
        <v>528</v>
      </c>
      <c r="E10" s="110"/>
      <c r="F10" s="110"/>
      <c r="G10" s="110"/>
      <c r="H10" s="110"/>
      <c r="I10" s="110"/>
      <c r="J10" s="111"/>
      <c r="K10" s="112" t="s">
        <v>529</v>
      </c>
      <c r="L10" s="113"/>
      <c r="M10" s="114"/>
      <c r="P10" s="53"/>
      <c r="Q10" s="53"/>
    </row>
    <row r="11" spans="2:17" ht="17.25" customHeight="1">
      <c r="B11" s="115" t="s">
        <v>530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531</v>
      </c>
      <c r="C13" s="60" t="s">
        <v>532</v>
      </c>
      <c r="D13" s="61">
        <f>SUMIFS('0305 4度C'!$K:$K,'0305 4度C'!$A:$A,"新豐6線",'0305 4度C'!$B:$B,"平均")</f>
        <v>112.35955056179775</v>
      </c>
      <c r="E13" s="62">
        <f>SUMIFS('0305 4度C'!$K:$K,'0305 4度C'!$A:$A,"新豐2線",'0305 4度C'!$B:$B,"平均")</f>
        <v>83.333333333333329</v>
      </c>
      <c r="F13" s="63">
        <f>SUMIFS('0305 4度C'!$K:$K,'0305 4度C'!$A:$A,"新豐5線",'0305 4度C'!$B:$B,"平均")</f>
        <v>104.16666666666667</v>
      </c>
      <c r="G13" s="63">
        <f>SUMIFS('0305 4度C'!$K:$K,'0305 4度C'!$A:$A,"新豐7線",'0305 4度C'!$B:$B,"平均")</f>
        <v>128.37837837837839</v>
      </c>
      <c r="H13" s="63">
        <f>SUMIFS('0305 4度C'!$K:$K,'0305 4度C'!$A:$A,"新豐3線",'0305 4度C'!$B:$B,"平均")</f>
        <v>315.78947368421052</v>
      </c>
      <c r="I13" s="63">
        <f>SUMIFS('0305 4度C'!$K:$K,'0305 4度C'!$A:$A,"新豐1線",'0305 4度C'!$B:$B,"平均")</f>
        <v>102.64900662251655</v>
      </c>
      <c r="J13" s="64">
        <f>SUMIFS('0305 4度C'!$K:$K,'0305 4度C'!$A:$A,"新豐10線",'0305 4度C'!$B:$B,"平均")</f>
        <v>220</v>
      </c>
      <c r="K13" s="65">
        <f>SUMIFS('0305 4度C'!$K:$K,'0305 4度C'!$A:$A,"新豐8線",'0305 4度C'!$B:$B,"平均")</f>
        <v>134.4</v>
      </c>
      <c r="L13" s="66">
        <f>SUMIFS('0305 4度C'!$K:$K,'0305 4度C'!$A:$A,"新豐9線",'0305 4度C'!$B:$B,"平均")</f>
        <v>139.80582524271844</v>
      </c>
      <c r="M13" s="64">
        <f>SUMIFS('0305 4度C'!$K:$K,'0305 4度C'!$A:$A,"新豐4線",'0305 4度C'!$B:$B,"平均")</f>
        <v>150</v>
      </c>
    </row>
    <row r="14" spans="2:17" ht="39.6" customHeight="1">
      <c r="B14" s="120"/>
      <c r="C14" s="67" t="s">
        <v>533</v>
      </c>
      <c r="D14" s="68">
        <f>SUMIFS('0305 4度C'!$N:$N,'0305 4度C'!$A:$A,"新豐6線",'0305 4度C'!$B:$B,"平均")</f>
        <v>107.14596265158053</v>
      </c>
      <c r="E14" s="69">
        <f>SUMIFS('0305 4度C'!$N:$N,'0305 4度C'!$A:$A,"新豐2線",'0305 4度C'!$B:$B,"平均")</f>
        <v>79.485265546071034</v>
      </c>
      <c r="F14" s="69">
        <f>SUMIFS('0305 4度C'!$N:$N,'0305 4度C'!$A:$A,"新豐5線",'0305 4度C'!$B:$B,"平均")</f>
        <v>100.20472133115659</v>
      </c>
      <c r="G14" s="69">
        <f>SUMIFS('0305 4度C'!$N:$N,'0305 4度C'!$A:$A,"新豐7線",'0305 4度C'!$B:$B,"平均")</f>
        <v>123.40796044302145</v>
      </c>
      <c r="H14" s="69">
        <f>SUMIFS('0305 4度C'!$N:$N,'0305 4度C'!$A:$A,"新豐3線",'0305 4度C'!$B:$B,"平均")</f>
        <v>301.96337814904359</v>
      </c>
      <c r="I14" s="69">
        <f>SUMIFS('0305 4度C'!$N:$N,'0305 4度C'!$A:$A,"新豐1線",'0305 4度C'!$B:$B,"平均")</f>
        <v>97.546912772896746</v>
      </c>
      <c r="J14" s="70">
        <f>SUMIFS('0305 4度C'!$N:$N,'0305 4度C'!$A:$A,"新豐10線",'0305 4度C'!$B:$B,"平均")</f>
        <v>211.50360350710866</v>
      </c>
      <c r="K14" s="71">
        <f>SUMIFS('0305 4度C'!$N:$N,'0305 4度C'!$A:$A,"新豐8線",'0305 4度C'!$B:$B,"平均")</f>
        <v>128.81152829619487</v>
      </c>
      <c r="L14" s="72">
        <f>SUMIFS('0305 4度C'!$N:$N,'0305 4度C'!$A:$A,"新豐9線",'0305 4度C'!$B:$B,"平均")</f>
        <v>133.58462856156024</v>
      </c>
      <c r="M14" s="70">
        <f>SUMIFS('0305 4度C'!$N:$N,'0305 4度C'!$A:$A,"新豐4線",'0305 4度C'!$B:$B,"平均")</f>
        <v>143.48093309743879</v>
      </c>
    </row>
    <row r="15" spans="2:17" ht="40.15" customHeight="1">
      <c r="B15" s="121"/>
      <c r="C15" s="73" t="s">
        <v>534</v>
      </c>
      <c r="D15" s="74">
        <f t="shared" ref="D15:M15" si="0">D14/D13</f>
        <v>0.95359906759906676</v>
      </c>
      <c r="E15" s="75">
        <f t="shared" si="0"/>
        <v>0.95382318655285248</v>
      </c>
      <c r="F15" s="75">
        <f t="shared" si="0"/>
        <v>0.96196532477910324</v>
      </c>
      <c r="G15" s="75">
        <f t="shared" si="0"/>
        <v>0.96128306029300914</v>
      </c>
      <c r="H15" s="75">
        <f t="shared" si="0"/>
        <v>0.95621736413863812</v>
      </c>
      <c r="I15" s="75">
        <f t="shared" si="0"/>
        <v>0.95029573088434904</v>
      </c>
      <c r="J15" s="76">
        <f t="shared" si="0"/>
        <v>0.96138001594140299</v>
      </c>
      <c r="K15" s="74">
        <f t="shared" si="0"/>
        <v>0.95841910934668795</v>
      </c>
      <c r="L15" s="75">
        <f t="shared" si="0"/>
        <v>0.95550116262782669</v>
      </c>
      <c r="M15" s="76">
        <f t="shared" si="0"/>
        <v>0.95653955398292534</v>
      </c>
    </row>
    <row r="16" spans="2:17" ht="17.25" customHeight="1">
      <c r="B16" s="122" t="s">
        <v>535</v>
      </c>
      <c r="C16" s="77" t="s">
        <v>536</v>
      </c>
      <c r="D16" s="78">
        <f>VLOOKUP("新豐6線",'0305 4度C'!$A:$T,19,0)</f>
        <v>0.70833333333333337</v>
      </c>
      <c r="E16" s="79">
        <f>VLOOKUP("新豐2線",'0305 4度C'!$A:$T,19,0)</f>
        <v>0.20833333333333334</v>
      </c>
      <c r="F16" s="79">
        <f>VLOOKUP("新豐5線",'0305 4度C'!$A:$T,19,0)</f>
        <v>0.20833333333333334</v>
      </c>
      <c r="G16" s="79">
        <f>VLOOKUP("新豐7線",'0305 4度C'!$A:$T,19,0)</f>
        <v>0.20833333333333334</v>
      </c>
      <c r="H16" s="79">
        <f>VLOOKUP("新豐3線",'0305 4度C'!$A:$T,19,0)</f>
        <v>8.3333333333333329E-2</v>
      </c>
      <c r="I16" s="79">
        <f>VLOOKUP("新豐1線",'0305 4度C'!$A:$T,19,0)</f>
        <v>0.20833333333333334</v>
      </c>
      <c r="J16" s="80">
        <f>VLOOKUP("新豐10線",'0305 4度C'!$A:$T,19,0)</f>
        <v>0.20833333333333334</v>
      </c>
      <c r="K16" s="81">
        <f>VLOOKUP("新豐8線",'0305 4度C'!$A:$T,19,0)</f>
        <v>8.3333333333333329E-2</v>
      </c>
      <c r="L16" s="82">
        <f>VLOOKUP("新豐9線",'0305 4度C'!$A:$T,19,0)</f>
        <v>8.3333333333333329E-2</v>
      </c>
      <c r="M16" s="83">
        <f>VLOOKUP("新豐4線",'0305 4度C'!$A:$T,19,0)</f>
        <v>8.3333333333333329E-2</v>
      </c>
    </row>
    <row r="17" spans="2:13" ht="17.25" customHeight="1">
      <c r="B17" s="123"/>
      <c r="C17" s="77" t="s">
        <v>537</v>
      </c>
      <c r="D17" s="81">
        <f>LOOKUP(2,1/(('0305 4度C'!$A:$A="新豐6線")*('0305 4度C'!$T:$T&lt;&gt;"")),'0305 4度C'!$T:$T)</f>
        <v>0.80416666666666659</v>
      </c>
      <c r="E17" s="79">
        <f>LOOKUP(2,1/(('0305 4度C'!$A:$A="新豐2線")*('0305 4度C'!$T:$T&lt;&gt;"")),'0305 4度C'!$T:$T)</f>
        <v>0.4458333333333333</v>
      </c>
      <c r="F17" s="79">
        <f>LOOKUP(2,1/(('0305 4度C'!$A:$A="新豐5線")*('0305 4度C'!$T:$T&lt;&gt;"")),'0305 4度C'!$T:$T)</f>
        <v>0.83749999999999991</v>
      </c>
      <c r="G17" s="79">
        <f>LOOKUP(2,1/(('0305 4度C'!$A:$A="新豐7線")*('0305 4度C'!$T:$T&lt;&gt;"")),'0305 4度C'!$T:$T)</f>
        <v>0.83124999999999993</v>
      </c>
      <c r="H17" s="79">
        <f>LOOKUP(2,1/(('0305 4度C'!$A:$A="新豐3線")*('0305 4度C'!$T:$T&lt;&gt;"")),'0305 4度C'!$T:$T)</f>
        <v>0.4902777777777777</v>
      </c>
      <c r="I17" s="79">
        <f>LOOKUP(2,1/(('0305 4度C'!$A:$A="新豐1線")*('0305 4度C'!$T:$T&lt;&gt;"")),'0305 4度C'!$T:$T)</f>
        <v>0.83819444444444446</v>
      </c>
      <c r="J17" s="80">
        <f>LOOKUP(2,1/(('0305 4度C'!$A:$A="新豐10線")*('0305 4度C'!$T:$T&lt;&gt;"")),'0305 4度C'!$T:$T)</f>
        <v>0.44583333333333325</v>
      </c>
      <c r="K17" s="78">
        <f>LOOKUP(2,1/(('0305 4度C'!$A:$A="新豐8線")*('0305 4度C'!$T:$T&lt;&gt;"")),'0305 4度C'!$T:$T)</f>
        <v>0.5840277777777777</v>
      </c>
      <c r="L17" s="79">
        <f>LOOKUP(2,1/(('0305 4度C'!$A:$A="新豐9線")*('0305 4度C'!$T:$T&lt;&gt;"")),'0305 4度C'!$T:$T)</f>
        <v>0.56944444444444431</v>
      </c>
      <c r="M17" s="80">
        <f>LOOKUP(2,1/(('0305 4度C'!$A:$A="新豐4線")*('0305 4度C'!$T:$T&lt;&gt;"")),'0305 4度C'!$T:$T)</f>
        <v>0.55138888888888882</v>
      </c>
    </row>
    <row r="18" spans="2:13" ht="17.25" customHeight="1">
      <c r="B18" s="101" t="s">
        <v>538</v>
      </c>
      <c r="C18" s="84" t="s">
        <v>539</v>
      </c>
      <c r="D18" s="85">
        <f>SUMIFS('0305 4度C'!$Y:$Y,'0305 4度C'!$A:$A,"新豐6線",'0305 4度C'!$B:$B,"平均")</f>
        <v>0</v>
      </c>
      <c r="E18" s="86">
        <f>SUMIFS('0305 4度C'!$Y:$Y,'0305 4度C'!$A:$A,"新豐2線",'0305 4度C'!$B:$B,"平均")</f>
        <v>0</v>
      </c>
      <c r="F18" s="86">
        <f>SUMIFS('0305 4度C'!$Y:$Y,'0305 4度C'!$A:$A,"新豐5線",'0305 4度C'!$B:$B,"平均")</f>
        <v>0</v>
      </c>
      <c r="G18" s="86">
        <f>SUMIFS('0305 4度C'!$Y:$Y,'0305 4度C'!$A:$A,"新豐7線",'0305 4度C'!$B:$B,"平均")</f>
        <v>0</v>
      </c>
      <c r="H18" s="86">
        <f>SUMIFS('0305 4度C'!$Y:$Y,'0305 4度C'!$A:$A,"新豐3線",'0305 4度C'!$B:$B,"平均")</f>
        <v>0</v>
      </c>
      <c r="I18" s="86">
        <f>SUMIFS('0305 4度C'!$Y:$Y,'0305 4度C'!$A:$A,"新豐1線",'0305 4度C'!$B:$B,"平均")</f>
        <v>0</v>
      </c>
      <c r="J18" s="87">
        <f>SUMIFS('0305 4度C'!$Y:$Y,'0305 4度C'!$A:$A,"新豐10線",'0305 4度C'!$B:$B,"平均")</f>
        <v>0</v>
      </c>
      <c r="K18" s="88">
        <f>SUMIFS('0305 4度C'!$Y:$Y,'0305 4度C'!$A:$A,"新豐8線",'0305 4度C'!$B:$B,"平均")</f>
        <v>0</v>
      </c>
      <c r="L18" s="86">
        <f>SUMIFS('0305 4度C'!$Y:$Y,'0305 4度C'!$A:$A,"新豐9線",'0305 4度C'!$B:$B,"平均")</f>
        <v>0</v>
      </c>
      <c r="M18" s="87">
        <f>SUMIFS('0305 4度C'!$Y:$Y,'0305 4度C'!$A:$A,"新豐4線",'0305 4度C'!$B:$B,"平均")</f>
        <v>0</v>
      </c>
    </row>
    <row r="19" spans="2:13" ht="17.25" customHeight="1">
      <c r="B19" s="102"/>
      <c r="C19" s="84" t="s">
        <v>540</v>
      </c>
      <c r="D19" s="85">
        <f>SUMIFS('0305 4度C'!$Z:$Z,'0305 4度C'!$A:$A,"新豐6線",'0305 4度C'!$B:$B,"平均")</f>
        <v>0</v>
      </c>
      <c r="E19" s="86">
        <f>SUMIFS('0305 4度C'!$Z:$Z,'0305 4度C'!$A:$A,"新豐2線",'0305 4度C'!$B:$B,"平均")</f>
        <v>0</v>
      </c>
      <c r="F19" s="86">
        <f>SUMIFS('0305 4度C'!$Z:$Z,'0305 4度C'!$A:$A,"新豐5線",'0305 4度C'!$B:$B,"平均")</f>
        <v>0</v>
      </c>
      <c r="G19" s="86">
        <f>SUMIFS('0305 4度C'!$Z:$Z,'0305 4度C'!$A:$A,"新豐7線",'0305 4度C'!$B:$B,"平均")</f>
        <v>0</v>
      </c>
      <c r="H19" s="86">
        <f>SUMIFS('0305 4度C'!$Z:$Z,'0305 4度C'!$A:$A,"新豐3線",'0305 4度C'!$B:$B,"平均")</f>
        <v>0</v>
      </c>
      <c r="I19" s="86">
        <f>SUMIFS('0305 4度C'!$Z:$Z,'0305 4度C'!$A:$A,"新豐1線",'0305 4度C'!$B:$B,"平均")</f>
        <v>0</v>
      </c>
      <c r="J19" s="87">
        <f>SUMIFS('0305 4度C'!$Z:$Z,'0305 4度C'!$A:$A,"新豐10線",'0305 4度C'!$B:$B,"平均")</f>
        <v>0</v>
      </c>
      <c r="K19" s="88">
        <f>SUMIFS('0305 4度C'!$Z:$Z,'0305 4度C'!$A:$A,"新豐8線",'0305 4度C'!$B:$B,"平均")</f>
        <v>0</v>
      </c>
      <c r="L19" s="86">
        <f>SUMIFS('0305 4度C'!$Z:$Z,'0305 4度C'!$A:$A,"新豐9線",'0305 4度C'!$B:$B,"平均")</f>
        <v>0</v>
      </c>
      <c r="M19" s="87">
        <f>SUMIFS('0305 4度C'!$Z:$Z,'0305 4度C'!$A:$A,"新豐4線",'0305 4度C'!$B:$B,"平均")</f>
        <v>0</v>
      </c>
    </row>
    <row r="20" spans="2:13" ht="17.25" customHeight="1">
      <c r="B20" s="101" t="s">
        <v>541</v>
      </c>
      <c r="C20" s="84" t="s">
        <v>230</v>
      </c>
      <c r="D20" s="85">
        <f>SUMIFS('0305 4度C'!$AC:$AC,'0305 4度C'!$A:$A,"新豐6線",'0305 4度C'!$B:$B,"平均")</f>
        <v>5</v>
      </c>
      <c r="E20" s="86">
        <f>SUMIFS('0305 4度C'!$AC:$AC,'0305 4度C'!$A:$A,"新豐2線",'0305 4度C'!$B:$B,"平均")</f>
        <v>2</v>
      </c>
      <c r="F20" s="86">
        <f>SUMIFS('0305 4度C'!$AC:$AC,'0305 4度C'!$A:$A,"新豐5線",'0305 4度C'!$B:$B,"平均")</f>
        <v>4</v>
      </c>
      <c r="G20" s="86">
        <f>SUMIFS('0305 4度C'!$AC:$AC,'0305 4度C'!$A:$A,"新豐7線",'0305 4度C'!$B:$B,"平均")</f>
        <v>5</v>
      </c>
      <c r="H20" s="86">
        <f>SUMIFS('0305 4度C'!$AC:$AC,'0305 4度C'!$A:$A,"新豐3線",'0305 4度C'!$B:$B,"平均")</f>
        <v>6</v>
      </c>
      <c r="I20" s="86">
        <f>SUMIFS('0305 4度C'!$AC:$AC,'0305 4度C'!$A:$A,"新豐1線",'0305 4度C'!$B:$B,"平均")</f>
        <v>8</v>
      </c>
      <c r="J20" s="87">
        <f>SUMIFS('0305 4度C'!$AC:$AC,'0305 4度C'!$A:$A,"新豐10線",'0305 4度C'!$B:$B,"平均")</f>
        <v>5</v>
      </c>
      <c r="K20" s="88">
        <f>SUMIFS('0305 4度C'!$AC:$AC,'0305 4度C'!$A:$A,"新豐8線",'0305 4度C'!$B:$B,"平均")</f>
        <v>7</v>
      </c>
      <c r="L20" s="86">
        <f>SUMIFS('0305 4度C'!$AC:$AC,'0305 4度C'!$A:$A,"新豐9線",'0305 4度C'!$B:$B,"平均")</f>
        <v>6</v>
      </c>
      <c r="M20" s="87">
        <f>SUMIFS('0305 4度C'!$AC:$AC,'0305 4度C'!$A:$A,"新豐4線",'0305 4度C'!$B:$B,"平均")</f>
        <v>5</v>
      </c>
    </row>
    <row r="21" spans="2:13" ht="17.25" customHeight="1">
      <c r="B21" s="102"/>
      <c r="C21" s="84" t="s">
        <v>231</v>
      </c>
      <c r="D21" s="85">
        <f>SUMIFS('0305 4度C'!$AD:$AD,'0305 4度C'!$A:$A,"新豐6線",'0305 4度C'!$B:$B,"平均")</f>
        <v>0</v>
      </c>
      <c r="E21" s="86">
        <f>SUMIFS('0305 4度C'!$AD:$AD,'0305 4度C'!$A:$A,"新豐2線",'0305 4度C'!$B:$B,"平均")</f>
        <v>0</v>
      </c>
      <c r="F21" s="86">
        <f>SUMIFS('0305 4度C'!$AD:$AD,'0305 4度C'!$A:$A,"新豐5線",'0305 4度C'!$B:$B,"平均")</f>
        <v>0</v>
      </c>
      <c r="G21" s="86">
        <f>SUMIFS('0305 4度C'!$AD:$AD,'0305 4度C'!$A:$A,"新豐7線",'0305 4度C'!$B:$B,"平均")</f>
        <v>0</v>
      </c>
      <c r="H21" s="86">
        <f>SUMIFS('0305 4度C'!$AD:$AD,'0305 4度C'!$A:$A,"新豐3線",'0305 4度C'!$B:$B,"平均")</f>
        <v>0</v>
      </c>
      <c r="I21" s="86">
        <f>SUMIFS('0305 4度C'!$AD:$AD,'0305 4度C'!$A:$A,"新豐1線",'0305 4度C'!$B:$B,"平均")</f>
        <v>0</v>
      </c>
      <c r="J21" s="87">
        <f>SUMIFS('0305 4度C'!$AD:$AD,'0305 4度C'!$A:$A,"新豐10線",'0305 4度C'!$B:$B,"平均")</f>
        <v>0</v>
      </c>
      <c r="K21" s="88">
        <f>SUMIFS('0305 4度C'!$AD:$AD,'0305 4度C'!$A:$A,"新豐8線",'0305 4度C'!$B:$B,"平均")</f>
        <v>0</v>
      </c>
      <c r="L21" s="86">
        <f>SUMIFS('0305 4度C'!$AD:$AD,'0305 4度C'!$A:$A,"新豐9線",'0305 4度C'!$B:$B,"平均")</f>
        <v>0</v>
      </c>
      <c r="M21" s="87">
        <f>SUMIFS('0305 4度C'!$AD:$AD,'0305 4度C'!$A:$A,"新豐4線",'0305 4度C'!$B:$B,"平均")</f>
        <v>0</v>
      </c>
    </row>
    <row r="22" spans="2:13" ht="17.25" customHeight="1">
      <c r="B22" s="103" t="s">
        <v>542</v>
      </c>
      <c r="C22" s="104"/>
      <c r="D22" s="89">
        <f>SUMIFS('0305 4度C'!$I:$I,'0305 4度C'!$A:$A,"新豐6線",'0305 4度C'!$B:$B,"平均")</f>
        <v>17.8</v>
      </c>
      <c r="E22" s="90">
        <f>SUMIFS('0305 4度C'!$I:$I,'0305 4度C'!$A:$A,"新豐2線",'0305 4度C'!$B:$B,"平均")</f>
        <v>18</v>
      </c>
      <c r="F22" s="90">
        <f>SUMIFS('0305 4度C'!$I:$I,'0305 4度C'!$A:$A,"新豐5線",'0305 4度C'!$B:$B,"平均")</f>
        <v>18</v>
      </c>
      <c r="G22" s="90">
        <f>SUMIFS('0305 4度C'!$I:$I,'0305 4度C'!$A:$A,"新豐7線",'0305 4度C'!$B:$B,"平均")</f>
        <v>14.8</v>
      </c>
      <c r="H22" s="90">
        <f>SUMIFS('0305 4度C'!$I:$I,'0305 4度C'!$A:$A,"新豐3線",'0305 4度C'!$B:$B,"平均")</f>
        <v>9.5</v>
      </c>
      <c r="I22" s="90">
        <f>SUMIFS('0305 4度C'!$I:$I,'0305 4度C'!$A:$A,"新豐1線",'0305 4度C'!$B:$B,"平均")</f>
        <v>18.875</v>
      </c>
      <c r="J22" s="91">
        <f>SUMIFS('0305 4度C'!$I:$I,'0305 4度C'!$A:$A,"新豐10線",'0305 4度C'!$B:$B,"平均")</f>
        <v>10</v>
      </c>
      <c r="K22" s="89">
        <f>SUMIFS('0305 4度C'!$I:$I,'0305 4度C'!$A:$A,"新豐8線",'0305 4度C'!$B:$B,"平均")</f>
        <v>17.857142857142858</v>
      </c>
      <c r="L22" s="90">
        <f>SUMIFS('0305 4度C'!$I:$I,'0305 4度C'!$A:$A,"新豐9線",'0305 4度C'!$B:$B,"平均")</f>
        <v>17.166666666666668</v>
      </c>
      <c r="M22" s="91">
        <f>SUMIFS('0305 4度C'!$I:$I,'0305 4度C'!$A:$A,"新豐4線",'0305 4度C'!$B:$B,"平均")</f>
        <v>16</v>
      </c>
    </row>
    <row r="23" spans="2:13" ht="17.25" customHeight="1">
      <c r="B23" s="103" t="s">
        <v>543</v>
      </c>
      <c r="C23" s="104"/>
      <c r="D23" s="92" t="s">
        <v>185</v>
      </c>
      <c r="E23" s="93" t="s">
        <v>186</v>
      </c>
      <c r="F23" s="93" t="s">
        <v>544</v>
      </c>
      <c r="G23" s="93" t="s">
        <v>544</v>
      </c>
      <c r="H23" s="93" t="s">
        <v>188</v>
      </c>
      <c r="I23" s="93" t="s">
        <v>185</v>
      </c>
      <c r="J23" s="94" t="s">
        <v>188</v>
      </c>
      <c r="K23" s="92" t="s">
        <v>545</v>
      </c>
      <c r="L23" s="93" t="s">
        <v>545</v>
      </c>
      <c r="M23" s="94" t="s">
        <v>545</v>
      </c>
    </row>
    <row r="24" spans="2:13" ht="17.25" customHeight="1">
      <c r="B24" s="103" t="s">
        <v>237</v>
      </c>
      <c r="C24" s="104"/>
      <c r="D24" s="92"/>
      <c r="E24" s="93"/>
      <c r="F24" s="93" t="s">
        <v>546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547</v>
      </c>
      <c r="C25" s="106"/>
      <c r="D25" s="95"/>
      <c r="E25" s="96" t="s">
        <v>548</v>
      </c>
      <c r="F25" s="99" t="s">
        <v>549</v>
      </c>
      <c r="G25" s="100"/>
      <c r="H25" s="96" t="s">
        <v>550</v>
      </c>
      <c r="I25" s="96" t="s">
        <v>551</v>
      </c>
      <c r="J25" s="97" t="s">
        <v>550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工作表13">
    <pageSetUpPr fitToPage="1"/>
  </sheetPr>
  <dimension ref="A1:AG68"/>
  <sheetViews>
    <sheetView zoomScale="80" zoomScaleNormal="80" workbookViewId="0">
      <pane ySplit="4" topLeftCell="A5" activePane="bottomLeft" state="frozen"/>
      <selection activeCell="B24" sqref="B24:D24"/>
      <selection pane="bottomLeft" activeCell="B24" sqref="B24:D2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552</v>
      </c>
      <c r="B1" s="1"/>
      <c r="C1" s="2" t="s">
        <v>553</v>
      </c>
      <c r="D1" s="3">
        <f>SUM(F5:F67)</f>
        <v>143975</v>
      </c>
      <c r="E1" s="4" t="s">
        <v>554</v>
      </c>
      <c r="F1" s="1">
        <f>SUM(G5:G67)</f>
        <v>4667835.6000000015</v>
      </c>
      <c r="G1" s="1" t="s">
        <v>555</v>
      </c>
      <c r="H1" s="5">
        <f>L10+L13+L46+L55+L18+L61+L32+L39+L24+L67</f>
        <v>157.99880952380954</v>
      </c>
      <c r="I1" s="212" t="s">
        <v>556</v>
      </c>
      <c r="J1" s="212"/>
      <c r="K1" s="212"/>
      <c r="L1" s="212" t="s">
        <v>557</v>
      </c>
      <c r="M1" s="212"/>
      <c r="N1" s="212"/>
      <c r="O1" s="212" t="s">
        <v>558</v>
      </c>
      <c r="P1" s="212"/>
      <c r="Q1" s="212"/>
      <c r="R1" s="212"/>
      <c r="S1" s="212" t="s">
        <v>559</v>
      </c>
      <c r="T1" s="212"/>
      <c r="U1" s="212"/>
      <c r="V1" s="212"/>
      <c r="W1" s="212"/>
      <c r="X1" s="212"/>
      <c r="Y1" s="6" t="s">
        <v>560</v>
      </c>
      <c r="Z1" s="7" t="s">
        <v>561</v>
      </c>
      <c r="AA1" s="213" t="s">
        <v>562</v>
      </c>
      <c r="AB1" s="213"/>
      <c r="AC1" s="42" t="s">
        <v>8</v>
      </c>
      <c r="AD1" s="7" t="s">
        <v>11</v>
      </c>
      <c r="AE1" s="212" t="s">
        <v>563</v>
      </c>
      <c r="AF1" s="214"/>
      <c r="AG1" s="214"/>
    </row>
    <row r="2" spans="1:33" ht="26.25" customHeight="1">
      <c r="A2" s="33">
        <v>46086</v>
      </c>
      <c r="B2" s="34" t="s">
        <v>564</v>
      </c>
      <c r="C2" s="2" t="s">
        <v>565</v>
      </c>
      <c r="D2" s="9">
        <f>AVERAGE(N10,N13,N46,N55,N18,N61,N24,N32,N39,N67)</f>
        <v>142.71348943560727</v>
      </c>
      <c r="E2" s="10" t="s">
        <v>14</v>
      </c>
      <c r="F2" s="11">
        <f>F1/D1</f>
        <v>32.421153672512602</v>
      </c>
      <c r="G2" s="1" t="s">
        <v>566</v>
      </c>
      <c r="H2" s="12">
        <f>COUNT(H5:H67)</f>
        <v>3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SUM(Y10+Y13+Y18+Y24+Y32+Y39+Y46+Y55+Y61+Y67)</f>
        <v>0</v>
      </c>
      <c r="Z2" s="13">
        <f>SUM(Z10+Z13+Z18+Z24+Z32+Z39+Z46+Z55+Z61+Z67)</f>
        <v>0</v>
      </c>
      <c r="AA2" s="213"/>
      <c r="AB2" s="213"/>
      <c r="AC2" s="13">
        <f>SUM(AC10+AC13+AC18+AC24+AC32+AC39+AC46+AC55+AC61+AC67)</f>
        <v>53</v>
      </c>
      <c r="AD2" s="13">
        <f>SUM(AD10+AD13+AD18+AD24+AD32+AD39+AD46+AD55+AD61+AD67)</f>
        <v>0</v>
      </c>
      <c r="AE2" s="214"/>
      <c r="AF2" s="214"/>
      <c r="AG2" s="214"/>
    </row>
    <row r="3" spans="1:33" ht="40.5" customHeight="1">
      <c r="A3" s="162" t="s">
        <v>567</v>
      </c>
      <c r="B3" s="162" t="s">
        <v>568</v>
      </c>
      <c r="C3" s="162" t="s">
        <v>569</v>
      </c>
      <c r="D3" s="162"/>
      <c r="E3" s="210" t="s">
        <v>471</v>
      </c>
      <c r="F3" s="162" t="s">
        <v>570</v>
      </c>
      <c r="G3" s="210" t="s">
        <v>571</v>
      </c>
      <c r="H3" s="204" t="s">
        <v>572</v>
      </c>
      <c r="I3" s="202" t="s">
        <v>573</v>
      </c>
      <c r="J3" s="199" t="s">
        <v>574</v>
      </c>
      <c r="K3" s="209" t="s">
        <v>575</v>
      </c>
      <c r="L3" s="202" t="s">
        <v>576</v>
      </c>
      <c r="M3" s="199" t="s">
        <v>577</v>
      </c>
      <c r="N3" s="209" t="s">
        <v>565</v>
      </c>
      <c r="O3" s="202" t="s">
        <v>578</v>
      </c>
      <c r="P3" s="209" t="s">
        <v>565</v>
      </c>
      <c r="Q3" s="200" t="s">
        <v>579</v>
      </c>
      <c r="R3" s="178" t="s">
        <v>270</v>
      </c>
      <c r="S3" s="162" t="s">
        <v>27</v>
      </c>
      <c r="T3" s="162"/>
      <c r="U3" s="204" t="s">
        <v>28</v>
      </c>
      <c r="V3" s="204" t="s">
        <v>580</v>
      </c>
      <c r="W3" s="162" t="s">
        <v>581</v>
      </c>
      <c r="X3" s="162"/>
      <c r="Y3" s="205" t="s">
        <v>582</v>
      </c>
      <c r="Z3" s="166"/>
      <c r="AA3" s="206" t="s">
        <v>583</v>
      </c>
      <c r="AB3" s="207"/>
      <c r="AC3" s="205" t="s">
        <v>33</v>
      </c>
      <c r="AD3" s="166"/>
      <c r="AE3" s="199" t="s">
        <v>584</v>
      </c>
      <c r="AF3" s="200" t="s">
        <v>579</v>
      </c>
      <c r="AG3" s="178" t="s">
        <v>585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586</v>
      </c>
      <c r="X4" s="4" t="s">
        <v>587</v>
      </c>
      <c r="Y4" s="14" t="s">
        <v>588</v>
      </c>
      <c r="Z4" s="14" t="s">
        <v>589</v>
      </c>
      <c r="AA4" s="208"/>
      <c r="AB4" s="207"/>
      <c r="AC4" s="14" t="s">
        <v>279</v>
      </c>
      <c r="AD4" s="14" t="s">
        <v>590</v>
      </c>
      <c r="AE4" s="199"/>
      <c r="AF4" s="200"/>
      <c r="AG4" s="178"/>
    </row>
    <row r="5" spans="1:33">
      <c r="A5" s="201" t="s">
        <v>591</v>
      </c>
      <c r="B5" s="35" t="s">
        <v>78</v>
      </c>
      <c r="C5" s="203" t="s">
        <v>79</v>
      </c>
      <c r="D5" s="203"/>
      <c r="E5" s="35">
        <v>50.67</v>
      </c>
      <c r="F5" s="4">
        <v>1245</v>
      </c>
      <c r="G5" s="4">
        <f t="shared" ref="G5:G9" si="0">E5*F5</f>
        <v>63084.15</v>
      </c>
      <c r="H5" s="21" t="s">
        <v>133</v>
      </c>
      <c r="I5" s="15">
        <v>17</v>
      </c>
      <c r="J5" s="17">
        <v>2000</v>
      </c>
      <c r="K5" s="16">
        <f t="shared" ref="K5:K67" si="1">J5/I5</f>
        <v>117.64705882352941</v>
      </c>
      <c r="L5" s="15">
        <v>17</v>
      </c>
      <c r="M5" s="17">
        <f t="shared" ref="M5:M9" si="2">F5/V5*60</f>
        <v>1915.3846153846143</v>
      </c>
      <c r="N5" s="16">
        <f t="shared" ref="N5:N67" si="3">M5/L5</f>
        <v>112.66968325791849</v>
      </c>
      <c r="O5" s="18">
        <f t="shared" ref="O5:O67" si="4">L5-I5</f>
        <v>0</v>
      </c>
      <c r="P5" s="19">
        <f t="shared" ref="P5:P67" si="5">N5-K5</f>
        <v>-4.9773755656109131</v>
      </c>
      <c r="Q5" s="20">
        <f t="shared" ref="Q5:Q67" si="6">N5/K5</f>
        <v>0.95769230769230729</v>
      </c>
      <c r="R5" s="170">
        <f>Q10</f>
        <v>0.95359906759906676</v>
      </c>
      <c r="S5" s="27">
        <v>0.70833333333333337</v>
      </c>
      <c r="T5" s="27">
        <v>0.73541666666666672</v>
      </c>
      <c r="U5" s="4"/>
      <c r="V5" s="21">
        <f t="shared" ref="V5:V9" si="7">(T5-S5)*24*60</f>
        <v>39.000000000000021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54" si="8">M5-J5</f>
        <v>-84.615384615385665</v>
      </c>
      <c r="AF5" s="20">
        <f t="shared" ref="AF5:AF67" si="9">M5/J5</f>
        <v>0.95769230769230718</v>
      </c>
      <c r="AG5" s="170">
        <f>AF10</f>
        <v>0.95359906759906676</v>
      </c>
    </row>
    <row r="6" spans="1:33">
      <c r="A6" s="202" t="s">
        <v>592</v>
      </c>
      <c r="B6" s="35" t="s">
        <v>78</v>
      </c>
      <c r="C6" s="203" t="s">
        <v>80</v>
      </c>
      <c r="D6" s="203"/>
      <c r="E6" s="35">
        <v>54.09</v>
      </c>
      <c r="F6" s="4">
        <v>1060</v>
      </c>
      <c r="G6" s="4">
        <f t="shared" si="0"/>
        <v>57335.4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1927.272727272725</v>
      </c>
      <c r="N6" s="16">
        <f t="shared" si="3"/>
        <v>101.43540669856448</v>
      </c>
      <c r="O6" s="18">
        <f t="shared" si="4"/>
        <v>0</v>
      </c>
      <c r="P6" s="19">
        <f t="shared" si="5"/>
        <v>-3.8277511961723576</v>
      </c>
      <c r="Q6" s="20">
        <f t="shared" si="6"/>
        <v>0.96363636363636263</v>
      </c>
      <c r="R6" s="170"/>
      <c r="S6" s="27">
        <v>0.74097222222222225</v>
      </c>
      <c r="T6" s="27">
        <v>0.76388888888888895</v>
      </c>
      <c r="U6" s="4">
        <f t="shared" ref="U6:U9" si="10">IF(S6=TIME(17,0,0),"",(S6-T5)*24*60)</f>
        <v>7.9999999999999716</v>
      </c>
      <c r="V6" s="21">
        <f t="shared" si="7"/>
        <v>33.000000000000043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-72.727272727275022</v>
      </c>
      <c r="AF6" s="20">
        <f t="shared" si="9"/>
        <v>0.96363636363636251</v>
      </c>
      <c r="AG6" s="170"/>
    </row>
    <row r="7" spans="1:33">
      <c r="A7" s="202" t="s">
        <v>592</v>
      </c>
      <c r="B7" s="35" t="s">
        <v>78</v>
      </c>
      <c r="C7" s="197" t="s">
        <v>81</v>
      </c>
      <c r="D7" s="198"/>
      <c r="E7" s="35">
        <v>50.29</v>
      </c>
      <c r="F7" s="4">
        <v>376</v>
      </c>
      <c r="G7" s="4">
        <f t="shared" si="0"/>
        <v>18909.04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1880.0000000000068</v>
      </c>
      <c r="N7" s="16">
        <f t="shared" si="3"/>
        <v>117.50000000000043</v>
      </c>
      <c r="O7" s="18">
        <f t="shared" si="4"/>
        <v>0</v>
      </c>
      <c r="P7" s="19">
        <f t="shared" si="5"/>
        <v>-7.4999999999995737</v>
      </c>
      <c r="Q7" s="20">
        <f t="shared" si="6"/>
        <v>0.94000000000000339</v>
      </c>
      <c r="R7" s="170"/>
      <c r="S7" s="27">
        <v>0.7680555555555556</v>
      </c>
      <c r="T7" s="27">
        <v>0.77638888888888891</v>
      </c>
      <c r="U7" s="4">
        <f t="shared" si="10"/>
        <v>5.9999999999999787</v>
      </c>
      <c r="V7" s="21">
        <f t="shared" si="7"/>
        <v>11.999999999999957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-119.99999999999318</v>
      </c>
      <c r="AF7" s="20">
        <f t="shared" si="9"/>
        <v>0.94000000000000339</v>
      </c>
      <c r="AG7" s="170"/>
    </row>
    <row r="8" spans="1:33">
      <c r="A8" s="202" t="s">
        <v>592</v>
      </c>
      <c r="B8" s="35" t="s">
        <v>78</v>
      </c>
      <c r="C8" s="197" t="s">
        <v>82</v>
      </c>
      <c r="D8" s="198"/>
      <c r="E8" s="35">
        <v>50.67</v>
      </c>
      <c r="F8" s="4">
        <v>376</v>
      </c>
      <c r="G8" s="4">
        <f t="shared" si="0"/>
        <v>19051.920000000002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1879.9999999999816</v>
      </c>
      <c r="N8" s="16">
        <f t="shared" si="3"/>
        <v>89.523809523808652</v>
      </c>
      <c r="O8" s="18">
        <f t="shared" si="4"/>
        <v>0</v>
      </c>
      <c r="P8" s="19">
        <f t="shared" si="5"/>
        <v>-5.7142857142865893</v>
      </c>
      <c r="Q8" s="20">
        <f t="shared" si="6"/>
        <v>0.93999999999999084</v>
      </c>
      <c r="R8" s="170"/>
      <c r="S8" s="27">
        <v>0.77986111111111112</v>
      </c>
      <c r="T8" s="27">
        <v>0.78819444444444453</v>
      </c>
      <c r="U8" s="4">
        <f t="shared" si="10"/>
        <v>4.9999999999999822</v>
      </c>
      <c r="V8" s="21">
        <f t="shared" si="7"/>
        <v>12.000000000000117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-120.00000000001842</v>
      </c>
      <c r="AF8" s="20">
        <f t="shared" si="9"/>
        <v>0.93999999999999084</v>
      </c>
      <c r="AG8" s="170"/>
    </row>
    <row r="9" spans="1:33">
      <c r="A9" s="202" t="s">
        <v>592</v>
      </c>
      <c r="B9" s="35" t="s">
        <v>78</v>
      </c>
      <c r="C9" s="197" t="s">
        <v>83</v>
      </c>
      <c r="D9" s="198"/>
      <c r="E9" s="35">
        <v>50.67</v>
      </c>
      <c r="F9" s="4">
        <v>580</v>
      </c>
      <c r="G9" s="4">
        <f t="shared" si="0"/>
        <v>29388.600000000002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1933.3333333333401</v>
      </c>
      <c r="N9" s="16">
        <f t="shared" si="3"/>
        <v>120.83333333333375</v>
      </c>
      <c r="O9" s="18">
        <f t="shared" si="4"/>
        <v>0</v>
      </c>
      <c r="P9" s="19">
        <f t="shared" si="5"/>
        <v>-4.1666666666662451</v>
      </c>
      <c r="Q9" s="20">
        <f t="shared" si="6"/>
        <v>0.96666666666667</v>
      </c>
      <c r="R9" s="170"/>
      <c r="S9" s="27">
        <v>0.79166666666666663</v>
      </c>
      <c r="T9" s="27">
        <v>0.80416666666666659</v>
      </c>
      <c r="U9" s="4">
        <f t="shared" si="10"/>
        <v>4.9999999999998224</v>
      </c>
      <c r="V9" s="21">
        <f t="shared" si="7"/>
        <v>17.999999999999936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-66.666666666659921</v>
      </c>
      <c r="AF9" s="20">
        <f t="shared" si="9"/>
        <v>0.96666666666667</v>
      </c>
      <c r="AG9" s="170"/>
    </row>
    <row r="10" spans="1:33">
      <c r="A10" s="202" t="s">
        <v>592</v>
      </c>
      <c r="B10" s="35" t="s">
        <v>593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1907.1981351981335</v>
      </c>
      <c r="N10" s="16">
        <f t="shared" si="3"/>
        <v>107.14596265158053</v>
      </c>
      <c r="O10" s="18">
        <f t="shared" si="4"/>
        <v>0</v>
      </c>
      <c r="P10" s="19">
        <f t="shared" si="5"/>
        <v>-5.213587910217214</v>
      </c>
      <c r="Q10" s="20">
        <f t="shared" si="6"/>
        <v>0.95359906759906676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f>SUM(AC5:AC9)</f>
        <v>5</v>
      </c>
      <c r="AD10" s="30">
        <f>SUM(AD5:AD9)</f>
        <v>0</v>
      </c>
      <c r="AE10" s="18">
        <f t="shared" si="8"/>
        <v>-92.801864801866486</v>
      </c>
      <c r="AF10" s="20">
        <f t="shared" si="9"/>
        <v>0.95359906759906676</v>
      </c>
      <c r="AG10" s="170"/>
    </row>
    <row r="11" spans="1:33" ht="15.75" customHeight="1">
      <c r="A11" s="196" t="s">
        <v>594</v>
      </c>
      <c r="B11" s="35" t="s">
        <v>84</v>
      </c>
      <c r="C11" s="197" t="s">
        <v>85</v>
      </c>
      <c r="D11" s="198"/>
      <c r="E11" s="35">
        <v>39.619999999999997</v>
      </c>
      <c r="F11" s="4">
        <v>3130</v>
      </c>
      <c r="G11" s="4">
        <f t="shared" ref="G11:G12" si="11">E11*F11</f>
        <v>124010.59999999999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1433.5877862595423</v>
      </c>
      <c r="N11" s="16">
        <f t="shared" si="3"/>
        <v>75.451988750502224</v>
      </c>
      <c r="O11" s="18">
        <f t="shared" si="4"/>
        <v>0</v>
      </c>
      <c r="P11" s="19">
        <f t="shared" si="5"/>
        <v>-3.4953796705504061</v>
      </c>
      <c r="Q11" s="20">
        <f t="shared" si="6"/>
        <v>0.95572519083969487</v>
      </c>
      <c r="R11" s="170">
        <f>Q13</f>
        <v>0.95382318655285248</v>
      </c>
      <c r="S11" s="27">
        <v>0.20833333333333334</v>
      </c>
      <c r="T11" s="27">
        <v>0.29930555555555555</v>
      </c>
      <c r="U11" s="4"/>
      <c r="V11" s="21">
        <f t="shared" ref="V11:V12" si="13">(T11-S11)*24*60</f>
        <v>130.99999999999997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-66.412213740457673</v>
      </c>
      <c r="AF11" s="20">
        <f t="shared" si="9"/>
        <v>0.95572519083969487</v>
      </c>
      <c r="AG11" s="170">
        <f>AF13</f>
        <v>0.95382318655285236</v>
      </c>
    </row>
    <row r="12" spans="1:33" ht="15.75" customHeight="1">
      <c r="A12" s="196" t="s">
        <v>594</v>
      </c>
      <c r="B12" s="35" t="s">
        <v>84</v>
      </c>
      <c r="C12" s="197" t="s">
        <v>86</v>
      </c>
      <c r="D12" s="198"/>
      <c r="E12" s="35">
        <v>39.799999999999997</v>
      </c>
      <c r="F12" s="4">
        <v>4831</v>
      </c>
      <c r="G12" s="4">
        <f t="shared" si="11"/>
        <v>192273.8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1427.8817733990147</v>
      </c>
      <c r="N12" s="16">
        <f t="shared" si="3"/>
        <v>83.993045494059686</v>
      </c>
      <c r="O12" s="18">
        <f t="shared" si="4"/>
        <v>0</v>
      </c>
      <c r="P12" s="19">
        <f t="shared" si="5"/>
        <v>-4.242248623587372</v>
      </c>
      <c r="Q12" s="20">
        <f t="shared" si="6"/>
        <v>0.95192118226600975</v>
      </c>
      <c r="R12" s="170"/>
      <c r="S12" s="27">
        <v>0.30486111111111108</v>
      </c>
      <c r="T12" s="27">
        <v>0.4458333333333333</v>
      </c>
      <c r="U12" s="4">
        <f t="shared" ref="U12" si="14">IF(S12=TIME(17,0,0),"",(S12-T11)*24*60)</f>
        <v>7.9999999999999716</v>
      </c>
      <c r="V12" s="21">
        <f t="shared" si="13"/>
        <v>203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-72.118226600985281</v>
      </c>
      <c r="AF12" s="20">
        <f t="shared" si="9"/>
        <v>0.95192118226600986</v>
      </c>
      <c r="AG12" s="170"/>
    </row>
    <row r="13" spans="1:33" ht="16.5" customHeight="1">
      <c r="A13" s="196" t="s">
        <v>594</v>
      </c>
      <c r="B13" s="35" t="s">
        <v>595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1430.7347798292785</v>
      </c>
      <c r="N13" s="16">
        <f t="shared" si="3"/>
        <v>79.485265546071034</v>
      </c>
      <c r="O13" s="18">
        <f t="shared" si="4"/>
        <v>0</v>
      </c>
      <c r="P13" s="19">
        <f t="shared" si="5"/>
        <v>-3.8480677872622948</v>
      </c>
      <c r="Q13" s="20">
        <f t="shared" si="6"/>
        <v>0.95382318655285248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f>SUM(AC11:AC12)</f>
        <v>2</v>
      </c>
      <c r="AD13" s="30">
        <f>SUM(AD11:AD12)</f>
        <v>0</v>
      </c>
      <c r="AE13" s="18">
        <f t="shared" si="8"/>
        <v>-69.265220170721477</v>
      </c>
      <c r="AF13" s="20">
        <f t="shared" si="9"/>
        <v>0.95382318655285236</v>
      </c>
      <c r="AG13" s="170"/>
    </row>
    <row r="14" spans="1:33" ht="16.5" customHeight="1">
      <c r="A14" s="194" t="s">
        <v>596</v>
      </c>
      <c r="B14" s="4" t="s">
        <v>87</v>
      </c>
      <c r="C14" s="190" t="s">
        <v>88</v>
      </c>
      <c r="D14" s="190"/>
      <c r="E14" s="35">
        <v>41</v>
      </c>
      <c r="F14" s="4">
        <v>2834</v>
      </c>
      <c r="G14" s="4">
        <f t="shared" ref="G14:G17" si="15">E14*F14</f>
        <v>116194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7" si="16">F14/V14*60</f>
        <v>1441.0169491525421</v>
      </c>
      <c r="N14" s="16">
        <f t="shared" si="3"/>
        <v>55.423728813559315</v>
      </c>
      <c r="O14" s="18">
        <f t="shared" si="4"/>
        <v>0</v>
      </c>
      <c r="P14" s="19">
        <f t="shared" si="5"/>
        <v>-2.2685788787483787</v>
      </c>
      <c r="Q14" s="20">
        <f t="shared" si="6"/>
        <v>0.96067796610169476</v>
      </c>
      <c r="R14" s="170">
        <f>Q18</f>
        <v>0.96196532477910324</v>
      </c>
      <c r="S14" s="27">
        <v>0.20833333333333334</v>
      </c>
      <c r="T14" s="27">
        <v>0.2902777777777778</v>
      </c>
      <c r="U14" s="4"/>
      <c r="V14" s="21">
        <f t="shared" ref="V14:V17" si="17">(T14-S14)*24*60</f>
        <v>118.00000000000001</v>
      </c>
      <c r="W14" s="27"/>
      <c r="X14" s="27"/>
      <c r="Y14" s="27"/>
      <c r="Z14" s="27"/>
      <c r="AA14" s="162"/>
      <c r="AB14" s="162"/>
      <c r="AC14" s="24">
        <v>4</v>
      </c>
      <c r="AD14" s="24"/>
      <c r="AE14" s="18">
        <f t="shared" si="8"/>
        <v>-58.983050847457889</v>
      </c>
      <c r="AF14" s="20">
        <f t="shared" si="9"/>
        <v>0.96067796610169476</v>
      </c>
      <c r="AG14" s="170">
        <f>AF18</f>
        <v>0.96196532477910335</v>
      </c>
    </row>
    <row r="15" spans="1:33" ht="16.5" customHeight="1">
      <c r="A15" s="195" t="s">
        <v>596</v>
      </c>
      <c r="B15" s="4" t="s">
        <v>78</v>
      </c>
      <c r="C15" s="190" t="s">
        <v>89</v>
      </c>
      <c r="D15" s="190"/>
      <c r="E15" s="35">
        <v>50.98</v>
      </c>
      <c r="F15" s="4">
        <v>2082</v>
      </c>
      <c r="G15" s="4">
        <f t="shared" si="15"/>
        <v>106140.36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1921.8461538461561</v>
      </c>
      <c r="N15" s="16">
        <f t="shared" si="3"/>
        <v>120.11538461538476</v>
      </c>
      <c r="O15" s="18">
        <f t="shared" si="4"/>
        <v>0</v>
      </c>
      <c r="P15" s="19">
        <f t="shared" si="5"/>
        <v>-4.8846153846152447</v>
      </c>
      <c r="Q15" s="20">
        <f t="shared" si="6"/>
        <v>0.96092307692307799</v>
      </c>
      <c r="R15" s="170"/>
      <c r="S15" s="27">
        <v>0.70833333333333337</v>
      </c>
      <c r="T15" s="27">
        <v>0.75347222222222221</v>
      </c>
      <c r="U15" s="4" t="str">
        <f t="shared" ref="U15:U17" si="18">IF(S15=TIME(17,0,0),"",(S15-T14)*24*60)</f>
        <v/>
      </c>
      <c r="V15" s="21">
        <f t="shared" si="17"/>
        <v>64.999999999999929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-78.153846153843915</v>
      </c>
      <c r="AF15" s="20">
        <f t="shared" si="9"/>
        <v>0.96092307692307799</v>
      </c>
      <c r="AG15" s="170"/>
    </row>
    <row r="16" spans="1:33" ht="16.5" customHeight="1">
      <c r="A16" s="195" t="s">
        <v>596</v>
      </c>
      <c r="B16" s="4" t="s">
        <v>78</v>
      </c>
      <c r="C16" s="190" t="s">
        <v>90</v>
      </c>
      <c r="D16" s="190"/>
      <c r="E16" s="35">
        <v>50.92</v>
      </c>
      <c r="F16" s="4">
        <v>1985</v>
      </c>
      <c r="G16" s="4">
        <f t="shared" si="15"/>
        <v>101076.2</v>
      </c>
      <c r="H16" s="21" t="s">
        <v>133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1920.9677419354855</v>
      </c>
      <c r="N16" s="16">
        <f t="shared" si="3"/>
        <v>128.06451612903237</v>
      </c>
      <c r="O16" s="18">
        <f t="shared" si="4"/>
        <v>0</v>
      </c>
      <c r="P16" s="19">
        <f t="shared" si="5"/>
        <v>-5.2688172043009729</v>
      </c>
      <c r="Q16" s="20">
        <f t="shared" si="6"/>
        <v>0.96048387096774268</v>
      </c>
      <c r="R16" s="170"/>
      <c r="S16" s="27">
        <v>0.7583333333333333</v>
      </c>
      <c r="T16" s="27">
        <v>0.80138888888888882</v>
      </c>
      <c r="U16" s="4">
        <f t="shared" si="18"/>
        <v>6.9999999999999751</v>
      </c>
      <c r="V16" s="21">
        <f t="shared" si="17"/>
        <v>61.999999999999943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-79.032258064514508</v>
      </c>
      <c r="AF16" s="20">
        <f t="shared" si="9"/>
        <v>0.96048387096774279</v>
      </c>
      <c r="AG16" s="170"/>
    </row>
    <row r="17" spans="1:33" ht="16.5" customHeight="1">
      <c r="A17" s="195" t="s">
        <v>596</v>
      </c>
      <c r="B17" s="4" t="s">
        <v>78</v>
      </c>
      <c r="C17" s="190" t="s">
        <v>91</v>
      </c>
      <c r="D17" s="190"/>
      <c r="E17" s="35">
        <v>50.67</v>
      </c>
      <c r="F17" s="4">
        <v>1416</v>
      </c>
      <c r="G17" s="4">
        <f t="shared" si="15"/>
        <v>71748.72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1930.9090909090908</v>
      </c>
      <c r="N17" s="16">
        <f t="shared" si="3"/>
        <v>128.72727272727272</v>
      </c>
      <c r="O17" s="18">
        <f t="shared" si="4"/>
        <v>0</v>
      </c>
      <c r="P17" s="19">
        <f t="shared" si="5"/>
        <v>-4.6060606060606233</v>
      </c>
      <c r="Q17" s="20">
        <f t="shared" si="6"/>
        <v>0.96545454545454534</v>
      </c>
      <c r="R17" s="170"/>
      <c r="S17" s="27">
        <v>0.80694444444444435</v>
      </c>
      <c r="T17" s="27">
        <v>0.83749999999999991</v>
      </c>
      <c r="U17" s="4">
        <f t="shared" si="18"/>
        <v>7.9999999999999716</v>
      </c>
      <c r="V17" s="21">
        <f t="shared" si="17"/>
        <v>44</v>
      </c>
      <c r="W17" s="22"/>
      <c r="X17" s="22"/>
      <c r="Y17" s="22"/>
      <c r="Z17" s="22"/>
      <c r="AA17" s="162"/>
      <c r="AB17" s="162"/>
      <c r="AC17" s="24"/>
      <c r="AD17" s="24"/>
      <c r="AE17" s="18">
        <f t="shared" si="8"/>
        <v>-69.090909090909236</v>
      </c>
      <c r="AF17" s="20">
        <f t="shared" si="9"/>
        <v>0.96545454545454534</v>
      </c>
      <c r="AG17" s="170"/>
    </row>
    <row r="18" spans="1:33" ht="16.5" customHeight="1">
      <c r="A18" s="195" t="s">
        <v>596</v>
      </c>
      <c r="B18" s="35" t="s">
        <v>595</v>
      </c>
      <c r="C18" s="171"/>
      <c r="D18" s="171"/>
      <c r="E18" s="36"/>
      <c r="F18" s="16"/>
      <c r="G18" s="16"/>
      <c r="H18" s="4"/>
      <c r="I18" s="29">
        <v>18</v>
      </c>
      <c r="J18" s="17">
        <v>1875</v>
      </c>
      <c r="K18" s="16">
        <f t="shared" si="1"/>
        <v>104.16666666666667</v>
      </c>
      <c r="L18" s="29">
        <v>18</v>
      </c>
      <c r="M18" s="17">
        <f>AVERAGE(M14:M17)</f>
        <v>1803.6849839608187</v>
      </c>
      <c r="N18" s="16">
        <f t="shared" si="3"/>
        <v>100.20472133115659</v>
      </c>
      <c r="O18" s="18">
        <f t="shared" si="4"/>
        <v>0</v>
      </c>
      <c r="P18" s="19">
        <f t="shared" si="5"/>
        <v>-3.9619453355100802</v>
      </c>
      <c r="Q18" s="20">
        <f t="shared" si="6"/>
        <v>0.96196532477910324</v>
      </c>
      <c r="R18" s="170"/>
      <c r="S18" s="27"/>
      <c r="T18" s="27"/>
      <c r="U18" s="4"/>
      <c r="V18" s="21"/>
      <c r="W18" s="16"/>
      <c r="X18" s="16"/>
      <c r="Y18" s="30">
        <f>SUM(Y14:Y17)</f>
        <v>0</v>
      </c>
      <c r="Z18" s="30">
        <f>SUM(Z14:Z17)</f>
        <v>0</v>
      </c>
      <c r="AA18" s="166"/>
      <c r="AB18" s="166"/>
      <c r="AC18" s="30">
        <f>SUM(AC14:AC17)</f>
        <v>4</v>
      </c>
      <c r="AD18" s="30">
        <f>SUM(AD14:AD17)</f>
        <v>0</v>
      </c>
      <c r="AE18" s="18">
        <f t="shared" si="8"/>
        <v>-71.315016039181273</v>
      </c>
      <c r="AF18" s="20">
        <f t="shared" si="9"/>
        <v>0.96196532477910335</v>
      </c>
      <c r="AG18" s="170"/>
    </row>
    <row r="19" spans="1:33" ht="15.75" customHeight="1">
      <c r="A19" s="192" t="s">
        <v>597</v>
      </c>
      <c r="B19" s="35" t="s">
        <v>78</v>
      </c>
      <c r="C19" s="190" t="s">
        <v>92</v>
      </c>
      <c r="D19" s="190"/>
      <c r="E19" s="35">
        <v>57.73</v>
      </c>
      <c r="F19" s="4">
        <v>2030</v>
      </c>
      <c r="G19" s="4">
        <f t="shared" ref="G19:G23" si="19">E19*F19</f>
        <v>117191.9</v>
      </c>
      <c r="H19" s="21" t="s">
        <v>133</v>
      </c>
      <c r="I19" s="15">
        <v>14</v>
      </c>
      <c r="J19" s="17">
        <v>2000</v>
      </c>
      <c r="K19" s="16">
        <f t="shared" si="1"/>
        <v>142.85714285714286</v>
      </c>
      <c r="L19" s="15">
        <v>14</v>
      </c>
      <c r="M19" s="17">
        <f t="shared" ref="M19:M23" si="20">F19/V19*60</f>
        <v>1903.1250000000009</v>
      </c>
      <c r="N19" s="16">
        <f t="shared" si="3"/>
        <v>135.93750000000006</v>
      </c>
      <c r="O19" s="18">
        <f t="shared" si="4"/>
        <v>0</v>
      </c>
      <c r="P19" s="19">
        <f t="shared" si="5"/>
        <v>-6.9196428571428044</v>
      </c>
      <c r="Q19" s="20">
        <f t="shared" si="6"/>
        <v>0.95156250000000042</v>
      </c>
      <c r="R19" s="170">
        <f>Q24</f>
        <v>0.96128306029300914</v>
      </c>
      <c r="S19" s="27">
        <v>0.20833333333333334</v>
      </c>
      <c r="T19" s="27">
        <v>0.25277777777777777</v>
      </c>
      <c r="U19" s="4"/>
      <c r="V19" s="21">
        <f t="shared" ref="V19:V23" si="21">(T19-S19)*24*60</f>
        <v>63.999999999999972</v>
      </c>
      <c r="W19" s="27"/>
      <c r="X19" s="27"/>
      <c r="Y19" s="27"/>
      <c r="Z19" s="27"/>
      <c r="AA19" s="162"/>
      <c r="AB19" s="162"/>
      <c r="AC19" s="24">
        <v>5</v>
      </c>
      <c r="AD19" s="24"/>
      <c r="AE19" s="18">
        <f t="shared" si="8"/>
        <v>-96.874999999999091</v>
      </c>
      <c r="AF19" s="20">
        <f t="shared" si="9"/>
        <v>0.95156250000000042</v>
      </c>
      <c r="AG19" s="170">
        <f>AF24</f>
        <v>0.96128306029300925</v>
      </c>
    </row>
    <row r="20" spans="1:33" ht="15.75" customHeight="1">
      <c r="A20" s="193" t="s">
        <v>597</v>
      </c>
      <c r="B20" s="35" t="s">
        <v>78</v>
      </c>
      <c r="C20" s="190" t="s">
        <v>93</v>
      </c>
      <c r="D20" s="190"/>
      <c r="E20" s="35">
        <v>53.68</v>
      </c>
      <c r="F20" s="4">
        <v>1325</v>
      </c>
      <c r="G20" s="4">
        <f t="shared" si="19"/>
        <v>71126</v>
      </c>
      <c r="H20" s="21" t="s">
        <v>133</v>
      </c>
      <c r="I20" s="15">
        <v>16</v>
      </c>
      <c r="J20" s="17">
        <v>2000</v>
      </c>
      <c r="K20" s="16">
        <f t="shared" si="1"/>
        <v>125</v>
      </c>
      <c r="L20" s="15">
        <v>16</v>
      </c>
      <c r="M20" s="17">
        <f t="shared" si="20"/>
        <v>1939.0243902439017</v>
      </c>
      <c r="N20" s="16">
        <f t="shared" si="3"/>
        <v>121.18902439024386</v>
      </c>
      <c r="O20" s="18">
        <f t="shared" si="4"/>
        <v>0</v>
      </c>
      <c r="P20" s="19">
        <f t="shared" si="5"/>
        <v>-3.8109756097561416</v>
      </c>
      <c r="Q20" s="20">
        <f t="shared" si="6"/>
        <v>0.96951219512195086</v>
      </c>
      <c r="R20" s="170"/>
      <c r="S20" s="27">
        <v>0.2583333333333333</v>
      </c>
      <c r="T20" s="27">
        <v>0.28680555555555554</v>
      </c>
      <c r="U20" s="4">
        <f t="shared" ref="U20:U23" si="22">IF(S20=TIME(17,0,0),"",(S20-T19)*24*60)</f>
        <v>7.9999999999999716</v>
      </c>
      <c r="V20" s="21">
        <f t="shared" si="21"/>
        <v>41.000000000000014</v>
      </c>
      <c r="W20" s="22"/>
      <c r="X20" s="4"/>
      <c r="Y20" s="4"/>
      <c r="Z20" s="4"/>
      <c r="AA20" s="162"/>
      <c r="AB20" s="162"/>
      <c r="AC20" s="24"/>
      <c r="AD20" s="24"/>
      <c r="AE20" s="18">
        <f t="shared" si="8"/>
        <v>-60.975609756098265</v>
      </c>
      <c r="AF20" s="20">
        <f t="shared" si="9"/>
        <v>0.96951219512195086</v>
      </c>
      <c r="AG20" s="170"/>
    </row>
    <row r="21" spans="1:33" ht="15.75" customHeight="1">
      <c r="A21" s="193" t="s">
        <v>597</v>
      </c>
      <c r="B21" s="35" t="s">
        <v>78</v>
      </c>
      <c r="C21" s="190" t="s">
        <v>94</v>
      </c>
      <c r="D21" s="190"/>
      <c r="E21" s="35">
        <v>50.49</v>
      </c>
      <c r="F21" s="4">
        <v>1723</v>
      </c>
      <c r="G21" s="4">
        <f t="shared" si="19"/>
        <v>86994.27</v>
      </c>
      <c r="H21" s="21" t="s">
        <v>133</v>
      </c>
      <c r="I21" s="15">
        <v>15</v>
      </c>
      <c r="J21" s="17">
        <v>2000</v>
      </c>
      <c r="K21" s="16">
        <f t="shared" si="1"/>
        <v>133.33333333333334</v>
      </c>
      <c r="L21" s="15">
        <v>15</v>
      </c>
      <c r="M21" s="17">
        <f t="shared" si="20"/>
        <v>1914.4444444444453</v>
      </c>
      <c r="N21" s="16">
        <f t="shared" si="3"/>
        <v>127.62962962962969</v>
      </c>
      <c r="O21" s="18">
        <f t="shared" si="4"/>
        <v>0</v>
      </c>
      <c r="P21" s="19">
        <f t="shared" si="5"/>
        <v>-5.7037037037036526</v>
      </c>
      <c r="Q21" s="20">
        <f t="shared" si="6"/>
        <v>0.95722222222222264</v>
      </c>
      <c r="R21" s="170"/>
      <c r="S21" s="27">
        <v>0.70833333333333337</v>
      </c>
      <c r="T21" s="27">
        <v>0.74583333333333335</v>
      </c>
      <c r="U21" s="4" t="str">
        <f t="shared" si="22"/>
        <v/>
      </c>
      <c r="V21" s="21">
        <f t="shared" si="21"/>
        <v>53.999999999999972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-85.555555555554747</v>
      </c>
      <c r="AF21" s="20">
        <f t="shared" si="9"/>
        <v>0.95722222222222264</v>
      </c>
      <c r="AG21" s="170"/>
    </row>
    <row r="22" spans="1:33" ht="15.75" customHeight="1">
      <c r="A22" s="193" t="s">
        <v>597</v>
      </c>
      <c r="B22" s="35" t="s">
        <v>78</v>
      </c>
      <c r="C22" s="190" t="s">
        <v>95</v>
      </c>
      <c r="D22" s="190"/>
      <c r="E22" s="35">
        <v>53.68</v>
      </c>
      <c r="F22" s="4">
        <v>1510</v>
      </c>
      <c r="G22" s="4">
        <f t="shared" si="19"/>
        <v>81056.800000000003</v>
      </c>
      <c r="H22" s="21" t="s">
        <v>133</v>
      </c>
      <c r="I22" s="15">
        <v>16</v>
      </c>
      <c r="J22" s="17">
        <v>1500</v>
      </c>
      <c r="K22" s="16">
        <f t="shared" si="1"/>
        <v>93.75</v>
      </c>
      <c r="L22" s="15">
        <v>16</v>
      </c>
      <c r="M22" s="17">
        <f t="shared" si="20"/>
        <v>1438.0952380952397</v>
      </c>
      <c r="N22" s="16">
        <f t="shared" si="3"/>
        <v>89.880952380952479</v>
      </c>
      <c r="O22" s="18">
        <f t="shared" si="4"/>
        <v>0</v>
      </c>
      <c r="P22" s="19">
        <f t="shared" si="5"/>
        <v>-3.8690476190475209</v>
      </c>
      <c r="Q22" s="20">
        <f t="shared" si="6"/>
        <v>0.95873015873015976</v>
      </c>
      <c r="R22" s="170"/>
      <c r="S22" s="27">
        <v>0.74930555555555556</v>
      </c>
      <c r="T22" s="27">
        <v>0.79305555555555551</v>
      </c>
      <c r="U22" s="4">
        <f t="shared" si="22"/>
        <v>4.9999999999999822</v>
      </c>
      <c r="V22" s="21">
        <f t="shared" si="21"/>
        <v>62.999999999999936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-61.904761904760335</v>
      </c>
      <c r="AF22" s="20">
        <f t="shared" si="9"/>
        <v>0.95873015873015976</v>
      </c>
      <c r="AG22" s="170"/>
    </row>
    <row r="23" spans="1:33" ht="15.75" customHeight="1">
      <c r="A23" s="193" t="s">
        <v>597</v>
      </c>
      <c r="B23" s="35" t="s">
        <v>78</v>
      </c>
      <c r="C23" s="190" t="s">
        <v>96</v>
      </c>
      <c r="D23" s="190"/>
      <c r="E23" s="35">
        <v>57.3</v>
      </c>
      <c r="F23" s="4">
        <v>1550</v>
      </c>
      <c r="G23" s="4">
        <f t="shared" si="19"/>
        <v>88815</v>
      </c>
      <c r="H23" s="21" t="s">
        <v>133</v>
      </c>
      <c r="I23" s="15">
        <v>13</v>
      </c>
      <c r="J23" s="17">
        <v>2000</v>
      </c>
      <c r="K23" s="16">
        <f t="shared" si="1"/>
        <v>153.84615384615384</v>
      </c>
      <c r="L23" s="15">
        <v>13</v>
      </c>
      <c r="M23" s="17">
        <f t="shared" si="20"/>
        <v>1937.5000000000007</v>
      </c>
      <c r="N23" s="16">
        <f t="shared" si="3"/>
        <v>149.0384615384616</v>
      </c>
      <c r="O23" s="18">
        <f t="shared" si="4"/>
        <v>0</v>
      </c>
      <c r="P23" s="19">
        <f t="shared" si="5"/>
        <v>-4.8076923076922355</v>
      </c>
      <c r="Q23" s="20">
        <f t="shared" si="6"/>
        <v>0.96875000000000044</v>
      </c>
      <c r="R23" s="170"/>
      <c r="S23" s="27">
        <v>0.79791666666666661</v>
      </c>
      <c r="T23" s="27">
        <v>0.83124999999999993</v>
      </c>
      <c r="U23" s="4">
        <f t="shared" si="22"/>
        <v>6.9999999999999751</v>
      </c>
      <c r="V23" s="21">
        <f t="shared" si="21"/>
        <v>47.999999999999986</v>
      </c>
      <c r="W23" s="22"/>
      <c r="X23" s="22"/>
      <c r="Y23" s="4"/>
      <c r="Z23" s="4"/>
      <c r="AA23" s="162"/>
      <c r="AB23" s="162"/>
      <c r="AC23" s="24"/>
      <c r="AD23" s="24"/>
      <c r="AE23" s="18">
        <f t="shared" si="8"/>
        <v>-62.499999999999318</v>
      </c>
      <c r="AF23" s="20">
        <f t="shared" si="9"/>
        <v>0.96875000000000033</v>
      </c>
      <c r="AG23" s="170"/>
    </row>
    <row r="24" spans="1:33" ht="15.75" customHeight="1">
      <c r="A24" s="193" t="s">
        <v>597</v>
      </c>
      <c r="B24" s="35" t="s">
        <v>595</v>
      </c>
      <c r="C24" s="171"/>
      <c r="D24" s="171"/>
      <c r="E24" s="36"/>
      <c r="F24" s="4"/>
      <c r="G24" s="4"/>
      <c r="H24" s="4"/>
      <c r="I24" s="29">
        <v>14.8</v>
      </c>
      <c r="J24" s="17">
        <v>1900</v>
      </c>
      <c r="K24" s="16">
        <f t="shared" si="1"/>
        <v>128.37837837837839</v>
      </c>
      <c r="L24" s="29">
        <v>14.8</v>
      </c>
      <c r="M24" s="17">
        <f>AVERAGE(M19:M23)</f>
        <v>1826.4378145567175</v>
      </c>
      <c r="N24" s="16">
        <f t="shared" si="3"/>
        <v>123.40796044302145</v>
      </c>
      <c r="O24" s="18">
        <f t="shared" si="4"/>
        <v>0</v>
      </c>
      <c r="P24" s="19">
        <f t="shared" si="5"/>
        <v>-4.9704179353569344</v>
      </c>
      <c r="Q24" s="20">
        <f t="shared" si="6"/>
        <v>0.96128306029300914</v>
      </c>
      <c r="R24" s="170"/>
      <c r="S24" s="27"/>
      <c r="T24" s="27"/>
      <c r="U24" s="16"/>
      <c r="V24" s="21"/>
      <c r="W24" s="16"/>
      <c r="X24" s="16"/>
      <c r="Y24" s="30">
        <f>SUM(Y19:Y23)</f>
        <v>0</v>
      </c>
      <c r="Z24" s="30">
        <f>SUM(Z19:Z23)</f>
        <v>0</v>
      </c>
      <c r="AA24" s="166"/>
      <c r="AB24" s="166"/>
      <c r="AC24" s="30">
        <f>SUM(AC19:AC23)</f>
        <v>5</v>
      </c>
      <c r="AD24" s="30">
        <f>SUM(AD19:AD23)</f>
        <v>0</v>
      </c>
      <c r="AE24" s="18">
        <f t="shared" si="8"/>
        <v>-73.562185443282488</v>
      </c>
      <c r="AF24" s="20">
        <f t="shared" si="9"/>
        <v>0.96128306029300925</v>
      </c>
      <c r="AG24" s="170"/>
    </row>
    <row r="25" spans="1:33" ht="15.75" customHeight="1">
      <c r="A25" s="191" t="s">
        <v>598</v>
      </c>
      <c r="B25" s="35" t="s">
        <v>97</v>
      </c>
      <c r="C25" s="190" t="s">
        <v>98</v>
      </c>
      <c r="D25" s="190"/>
      <c r="E25" s="35">
        <v>31.29</v>
      </c>
      <c r="F25" s="4">
        <v>4400</v>
      </c>
      <c r="G25" s="4">
        <f t="shared" ref="G25:G31" si="23">E25*F25</f>
        <v>137676</v>
      </c>
      <c r="H25" s="21">
        <v>2</v>
      </c>
      <c r="I25" s="15">
        <v>18</v>
      </c>
      <c r="J25" s="17">
        <v>2400</v>
      </c>
      <c r="K25" s="16">
        <f t="shared" si="1"/>
        <v>133.33333333333334</v>
      </c>
      <c r="L25" s="15">
        <v>18</v>
      </c>
      <c r="M25" s="17">
        <f t="shared" ref="M25:M31" si="24">F25/V25*60</f>
        <v>2295.652173913043</v>
      </c>
      <c r="N25" s="16">
        <f t="shared" si="3"/>
        <v>127.53623188405794</v>
      </c>
      <c r="O25" s="18">
        <f t="shared" si="4"/>
        <v>0</v>
      </c>
      <c r="P25" s="19">
        <f t="shared" si="5"/>
        <v>-5.7971014492754023</v>
      </c>
      <c r="Q25" s="20">
        <f t="shared" si="6"/>
        <v>0.95652173913043448</v>
      </c>
      <c r="R25" s="170">
        <f>Q32</f>
        <v>0.95841910934668795</v>
      </c>
      <c r="S25" s="27">
        <v>8.3333333333333329E-2</v>
      </c>
      <c r="T25" s="27">
        <v>0.16319444444444445</v>
      </c>
      <c r="U25" s="4"/>
      <c r="V25" s="21">
        <f t="shared" ref="V25:V31" si="25">(T25-S25)*24*60</f>
        <v>115.00000000000001</v>
      </c>
      <c r="W25" s="22">
        <f>T25</f>
        <v>0.16319444444444445</v>
      </c>
      <c r="X25" s="22">
        <f>S26</f>
        <v>0.18333333333333335</v>
      </c>
      <c r="Y25" s="22"/>
      <c r="Z25" s="22"/>
      <c r="AA25" s="162"/>
      <c r="AB25" s="162"/>
      <c r="AC25" s="24">
        <v>7</v>
      </c>
      <c r="AD25" s="24"/>
      <c r="AE25" s="18">
        <f t="shared" si="8"/>
        <v>-104.34782608695696</v>
      </c>
      <c r="AF25" s="20">
        <f t="shared" si="9"/>
        <v>0.95652173913043459</v>
      </c>
      <c r="AG25" s="170">
        <f>AF32</f>
        <v>0.95841910934668795</v>
      </c>
    </row>
    <row r="26" spans="1:33" ht="15.75" customHeight="1">
      <c r="A26" s="191" t="s">
        <v>598</v>
      </c>
      <c r="B26" s="35" t="s">
        <v>97</v>
      </c>
      <c r="C26" s="190" t="s">
        <v>99</v>
      </c>
      <c r="D26" s="190"/>
      <c r="E26" s="35">
        <v>25.98</v>
      </c>
      <c r="F26" s="4">
        <v>2905</v>
      </c>
      <c r="G26" s="4">
        <f t="shared" si="23"/>
        <v>75471.899999999994</v>
      </c>
      <c r="H26" s="21" t="s">
        <v>133</v>
      </c>
      <c r="I26" s="15">
        <v>21</v>
      </c>
      <c r="J26" s="17">
        <v>2400</v>
      </c>
      <c r="K26" s="16">
        <f t="shared" si="1"/>
        <v>114.28571428571429</v>
      </c>
      <c r="L26" s="15">
        <v>21</v>
      </c>
      <c r="M26" s="17">
        <f t="shared" si="24"/>
        <v>2293.4210526315783</v>
      </c>
      <c r="N26" s="16">
        <f t="shared" si="3"/>
        <v>109.21052631578944</v>
      </c>
      <c r="O26" s="18">
        <f t="shared" si="4"/>
        <v>0</v>
      </c>
      <c r="P26" s="19">
        <f t="shared" si="5"/>
        <v>-5.0751879699248548</v>
      </c>
      <c r="Q26" s="20">
        <f t="shared" si="6"/>
        <v>0.95559210526315752</v>
      </c>
      <c r="R26" s="170"/>
      <c r="S26" s="27">
        <v>0.18333333333333335</v>
      </c>
      <c r="T26" s="27">
        <v>0.23611111111111113</v>
      </c>
      <c r="U26" s="4">
        <f t="shared" ref="U26:U31" si="26">(S26-T25)*24*60</f>
        <v>29.000000000000018</v>
      </c>
      <c r="V26" s="21">
        <f t="shared" si="25"/>
        <v>76.000000000000014</v>
      </c>
      <c r="W26" s="22"/>
      <c r="X26" s="22"/>
      <c r="Y26" s="22"/>
      <c r="Z26" s="22"/>
      <c r="AA26" s="162"/>
      <c r="AB26" s="162"/>
      <c r="AC26" s="24"/>
      <c r="AD26" s="24"/>
      <c r="AE26" s="18">
        <f t="shared" si="8"/>
        <v>-106.57894736842172</v>
      </c>
      <c r="AF26" s="20">
        <f t="shared" si="9"/>
        <v>0.95559210526315763</v>
      </c>
      <c r="AG26" s="170"/>
    </row>
    <row r="27" spans="1:33" ht="15.75" customHeight="1">
      <c r="A27" s="191" t="s">
        <v>598</v>
      </c>
      <c r="B27" s="35" t="s">
        <v>97</v>
      </c>
      <c r="C27" s="190" t="s">
        <v>100</v>
      </c>
      <c r="D27" s="190"/>
      <c r="E27" s="35">
        <v>26.2</v>
      </c>
      <c r="F27" s="4">
        <v>4866</v>
      </c>
      <c r="G27" s="4">
        <f t="shared" si="23"/>
        <v>127489.2</v>
      </c>
      <c r="H27" s="21" t="s">
        <v>133</v>
      </c>
      <c r="I27" s="15">
        <v>20</v>
      </c>
      <c r="J27" s="17">
        <v>2400</v>
      </c>
      <c r="K27" s="16">
        <f t="shared" si="1"/>
        <v>120</v>
      </c>
      <c r="L27" s="15">
        <v>20</v>
      </c>
      <c r="M27" s="17">
        <f t="shared" si="24"/>
        <v>2298.8976377952749</v>
      </c>
      <c r="N27" s="16">
        <f t="shared" si="3"/>
        <v>114.94488188976375</v>
      </c>
      <c r="O27" s="18">
        <f t="shared" si="4"/>
        <v>0</v>
      </c>
      <c r="P27" s="19">
        <f t="shared" si="5"/>
        <v>-5.0551181102362506</v>
      </c>
      <c r="Q27" s="20">
        <f t="shared" si="6"/>
        <v>0.95787401574803122</v>
      </c>
      <c r="R27" s="170"/>
      <c r="S27" s="27">
        <v>0.24027777777777781</v>
      </c>
      <c r="T27" s="27">
        <v>0.32847222222222228</v>
      </c>
      <c r="U27" s="4">
        <f t="shared" si="26"/>
        <v>6.0000000000000187</v>
      </c>
      <c r="V27" s="21">
        <f t="shared" si="25"/>
        <v>127.00000000000003</v>
      </c>
      <c r="W27" s="22"/>
      <c r="X27" s="22"/>
      <c r="Y27" s="22"/>
      <c r="Z27" s="22"/>
      <c r="AA27" s="162"/>
      <c r="AB27" s="162"/>
      <c r="AC27" s="24"/>
      <c r="AD27" s="24"/>
      <c r="AE27" s="18">
        <f t="shared" si="8"/>
        <v>-101.10236220472507</v>
      </c>
      <c r="AF27" s="20">
        <f t="shared" si="9"/>
        <v>0.95787401574803122</v>
      </c>
      <c r="AG27" s="170"/>
    </row>
    <row r="28" spans="1:33" ht="15.75" customHeight="1">
      <c r="A28" s="191" t="s">
        <v>598</v>
      </c>
      <c r="B28" s="35" t="s">
        <v>97</v>
      </c>
      <c r="C28" s="190" t="s">
        <v>101</v>
      </c>
      <c r="D28" s="190"/>
      <c r="E28" s="35">
        <v>25.99</v>
      </c>
      <c r="F28" s="4">
        <v>3989</v>
      </c>
      <c r="G28" s="4">
        <f t="shared" si="23"/>
        <v>103674.11</v>
      </c>
      <c r="H28" s="21" t="s">
        <v>133</v>
      </c>
      <c r="I28" s="15">
        <v>14</v>
      </c>
      <c r="J28" s="17">
        <v>2400</v>
      </c>
      <c r="K28" s="16">
        <f t="shared" si="1"/>
        <v>171.42857142857142</v>
      </c>
      <c r="L28" s="15">
        <v>14</v>
      </c>
      <c r="M28" s="17">
        <f t="shared" si="24"/>
        <v>2301.3461538461534</v>
      </c>
      <c r="N28" s="16">
        <f t="shared" si="3"/>
        <v>164.38186813186809</v>
      </c>
      <c r="O28" s="18">
        <f t="shared" si="4"/>
        <v>0</v>
      </c>
      <c r="P28" s="19">
        <f t="shared" si="5"/>
        <v>-7.0467032967033276</v>
      </c>
      <c r="Q28" s="20">
        <f t="shared" si="6"/>
        <v>0.95889423076923064</v>
      </c>
      <c r="R28" s="170"/>
      <c r="S28" s="27">
        <v>0.33333333333333337</v>
      </c>
      <c r="T28" s="27">
        <v>0.40555555555555561</v>
      </c>
      <c r="U28" s="4">
        <f t="shared" si="26"/>
        <v>6.9999999999999751</v>
      </c>
      <c r="V28" s="21">
        <f t="shared" si="25"/>
        <v>104.00000000000003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-98.653846153846644</v>
      </c>
      <c r="AF28" s="20">
        <f t="shared" si="9"/>
        <v>0.95889423076923053</v>
      </c>
      <c r="AG28" s="170"/>
    </row>
    <row r="29" spans="1:33" ht="15.75" customHeight="1">
      <c r="A29" s="191" t="s">
        <v>598</v>
      </c>
      <c r="B29" s="35" t="s">
        <v>97</v>
      </c>
      <c r="C29" s="190" t="s">
        <v>102</v>
      </c>
      <c r="D29" s="190"/>
      <c r="E29" s="35">
        <v>26.18</v>
      </c>
      <c r="F29" s="4">
        <v>1879</v>
      </c>
      <c r="G29" s="4">
        <f t="shared" si="23"/>
        <v>49192.22</v>
      </c>
      <c r="H29" s="21" t="s">
        <v>133</v>
      </c>
      <c r="I29" s="15">
        <v>19</v>
      </c>
      <c r="J29" s="17">
        <v>2400</v>
      </c>
      <c r="K29" s="16">
        <f t="shared" si="1"/>
        <v>126.31578947368421</v>
      </c>
      <c r="L29" s="15">
        <v>19</v>
      </c>
      <c r="M29" s="17">
        <f t="shared" si="24"/>
        <v>2300.816326530613</v>
      </c>
      <c r="N29" s="16">
        <f t="shared" si="3"/>
        <v>121.09559613319016</v>
      </c>
      <c r="O29" s="18">
        <f t="shared" si="4"/>
        <v>0</v>
      </c>
      <c r="P29" s="19">
        <f t="shared" si="5"/>
        <v>-5.220193340494049</v>
      </c>
      <c r="Q29" s="20">
        <f t="shared" si="6"/>
        <v>0.95867346938775544</v>
      </c>
      <c r="R29" s="170"/>
      <c r="S29" s="27">
        <v>0.40972222222222227</v>
      </c>
      <c r="T29" s="27">
        <v>0.44375000000000003</v>
      </c>
      <c r="U29" s="4">
        <f t="shared" si="26"/>
        <v>5.9999999999999787</v>
      </c>
      <c r="V29" s="21">
        <f t="shared" si="25"/>
        <v>48.999999999999986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-99.183673469387031</v>
      </c>
      <c r="AF29" s="20">
        <f t="shared" si="9"/>
        <v>0.95867346938775544</v>
      </c>
      <c r="AG29" s="170"/>
    </row>
    <row r="30" spans="1:33" ht="15.75" customHeight="1">
      <c r="A30" s="191" t="s">
        <v>598</v>
      </c>
      <c r="B30" s="35" t="s">
        <v>97</v>
      </c>
      <c r="C30" s="190" t="s">
        <v>106</v>
      </c>
      <c r="D30" s="190"/>
      <c r="E30" s="35">
        <v>20.21</v>
      </c>
      <c r="F30" s="4">
        <v>2993</v>
      </c>
      <c r="G30" s="4">
        <f t="shared" si="23"/>
        <v>60488.530000000006</v>
      </c>
      <c r="H30" s="21" t="s">
        <v>133</v>
      </c>
      <c r="I30" s="15">
        <v>15</v>
      </c>
      <c r="J30" s="17">
        <v>2400</v>
      </c>
      <c r="K30" s="16">
        <f t="shared" si="1"/>
        <v>160</v>
      </c>
      <c r="L30" s="15">
        <v>15</v>
      </c>
      <c r="M30" s="17">
        <f t="shared" si="24"/>
        <v>2302.3076923076933</v>
      </c>
      <c r="N30" s="16">
        <f t="shared" si="3"/>
        <v>153.48717948717956</v>
      </c>
      <c r="O30" s="18">
        <f t="shared" si="4"/>
        <v>0</v>
      </c>
      <c r="P30" s="19">
        <f t="shared" si="5"/>
        <v>-6.5128205128204399</v>
      </c>
      <c r="Q30" s="20">
        <f t="shared" si="6"/>
        <v>0.95929487179487227</v>
      </c>
      <c r="R30" s="170"/>
      <c r="S30" s="27">
        <v>0.44791666666666669</v>
      </c>
      <c r="T30" s="27">
        <v>0.50208333333333333</v>
      </c>
      <c r="U30" s="4">
        <f t="shared" si="26"/>
        <v>5.9999999999999787</v>
      </c>
      <c r="V30" s="21">
        <f t="shared" si="25"/>
        <v>77.999999999999957</v>
      </c>
      <c r="W30" s="22">
        <f>T30</f>
        <v>0.50208333333333333</v>
      </c>
      <c r="X30" s="22">
        <f>S31</f>
        <v>0.54236111111111107</v>
      </c>
      <c r="Y30" s="22"/>
      <c r="Z30" s="22"/>
      <c r="AA30" s="162"/>
      <c r="AB30" s="162"/>
      <c r="AC30" s="24"/>
      <c r="AD30" s="24"/>
      <c r="AE30" s="18">
        <f t="shared" si="8"/>
        <v>-97.692307692306713</v>
      </c>
      <c r="AF30" s="20">
        <f t="shared" si="9"/>
        <v>0.95929487179487216</v>
      </c>
      <c r="AG30" s="170"/>
    </row>
    <row r="31" spans="1:33" ht="15.75" customHeight="1">
      <c r="A31" s="191" t="s">
        <v>598</v>
      </c>
      <c r="B31" s="35" t="s">
        <v>97</v>
      </c>
      <c r="C31" s="190" t="s">
        <v>103</v>
      </c>
      <c r="D31" s="190"/>
      <c r="E31" s="35">
        <v>26.2</v>
      </c>
      <c r="F31" s="4">
        <v>2309</v>
      </c>
      <c r="G31" s="4">
        <f t="shared" si="23"/>
        <v>60495.799999999996</v>
      </c>
      <c r="H31" s="21" t="s">
        <v>133</v>
      </c>
      <c r="I31" s="15">
        <v>18</v>
      </c>
      <c r="J31" s="17">
        <v>2400</v>
      </c>
      <c r="K31" s="16">
        <f t="shared" si="1"/>
        <v>133.33333333333334</v>
      </c>
      <c r="L31" s="15">
        <v>18</v>
      </c>
      <c r="M31" s="17">
        <f t="shared" si="24"/>
        <v>2309.0000000000023</v>
      </c>
      <c r="N31" s="16">
        <f t="shared" si="3"/>
        <v>128.27777777777791</v>
      </c>
      <c r="O31" s="18">
        <f t="shared" si="4"/>
        <v>0</v>
      </c>
      <c r="P31" s="19">
        <f t="shared" si="5"/>
        <v>-5.0555555555554292</v>
      </c>
      <c r="Q31" s="20">
        <f t="shared" si="6"/>
        <v>0.96208333333333429</v>
      </c>
      <c r="R31" s="170"/>
      <c r="S31" s="27">
        <v>0.54236111111111107</v>
      </c>
      <c r="T31" s="27">
        <v>0.5840277777777777</v>
      </c>
      <c r="U31" s="4">
        <f t="shared" si="26"/>
        <v>57.999999999999957</v>
      </c>
      <c r="V31" s="21">
        <f t="shared" si="25"/>
        <v>59.999999999999943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-90.999999999997726</v>
      </c>
      <c r="AF31" s="20">
        <f t="shared" si="9"/>
        <v>0.96208333333333429</v>
      </c>
      <c r="AG31" s="170"/>
    </row>
    <row r="32" spans="1:33" ht="15.75" customHeight="1">
      <c r="A32" s="191" t="s">
        <v>598</v>
      </c>
      <c r="B32" s="35" t="s">
        <v>595</v>
      </c>
      <c r="C32" s="171"/>
      <c r="D32" s="171"/>
      <c r="E32" s="36"/>
      <c r="F32" s="4"/>
      <c r="G32" s="4"/>
      <c r="H32" s="4"/>
      <c r="I32" s="29">
        <v>17.857142857142858</v>
      </c>
      <c r="J32" s="17">
        <v>2400</v>
      </c>
      <c r="K32" s="16">
        <f t="shared" si="1"/>
        <v>134.4</v>
      </c>
      <c r="L32" s="29">
        <v>17.857142857142858</v>
      </c>
      <c r="M32" s="17">
        <f>AVERAGE(M25:M31)</f>
        <v>2300.2058624320512</v>
      </c>
      <c r="N32" s="16">
        <f t="shared" si="3"/>
        <v>128.81152829619487</v>
      </c>
      <c r="O32" s="18">
        <f t="shared" si="4"/>
        <v>0</v>
      </c>
      <c r="P32" s="19">
        <f t="shared" si="5"/>
        <v>-5.5884717038051406</v>
      </c>
      <c r="Q32" s="20">
        <f t="shared" si="6"/>
        <v>0.95841910934668795</v>
      </c>
      <c r="R32" s="170"/>
      <c r="S32" s="27"/>
      <c r="T32" s="27"/>
      <c r="U32" s="4"/>
      <c r="V32" s="21"/>
      <c r="W32" s="4"/>
      <c r="X32" s="4"/>
      <c r="Y32" s="30">
        <f>SUM(Y25:Y31)</f>
        <v>0</v>
      </c>
      <c r="Z32" s="30">
        <f>SUM(Z25:Z31)</f>
        <v>0</v>
      </c>
      <c r="AA32" s="166"/>
      <c r="AB32" s="166"/>
      <c r="AC32" s="30">
        <f>SUM(AC25:AC31)</f>
        <v>7</v>
      </c>
      <c r="AD32" s="30">
        <f>SUM(AD25:AD31)</f>
        <v>0</v>
      </c>
      <c r="AE32" s="18">
        <f t="shared" si="8"/>
        <v>-99.794137567948837</v>
      </c>
      <c r="AF32" s="20">
        <f t="shared" si="9"/>
        <v>0.95841910934668795</v>
      </c>
      <c r="AG32" s="170"/>
    </row>
    <row r="33" spans="1:33" ht="15.75" customHeight="1">
      <c r="A33" s="188" t="s">
        <v>599</v>
      </c>
      <c r="B33" s="35" t="s">
        <v>97</v>
      </c>
      <c r="C33" s="163" t="s">
        <v>103</v>
      </c>
      <c r="D33" s="163"/>
      <c r="E33" s="35">
        <v>26.2</v>
      </c>
      <c r="F33" s="4">
        <v>3800</v>
      </c>
      <c r="G33" s="4">
        <f t="shared" ref="G33:G38" si="27">E33*F33</f>
        <v>99560</v>
      </c>
      <c r="H33" s="21">
        <v>2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ref="M33:M38" si="28">F33/V33*60</f>
        <v>2303.030303030303</v>
      </c>
      <c r="N33" s="16">
        <f t="shared" si="3"/>
        <v>127.94612794612794</v>
      </c>
      <c r="O33" s="18">
        <f t="shared" si="4"/>
        <v>0</v>
      </c>
      <c r="P33" s="19">
        <f t="shared" si="5"/>
        <v>-5.3872053872053982</v>
      </c>
      <c r="Q33" s="20">
        <f t="shared" si="6"/>
        <v>0.95959595959595956</v>
      </c>
      <c r="R33" s="170">
        <f>Q39</f>
        <v>0.95550116262782669</v>
      </c>
      <c r="S33" s="27">
        <v>8.3333333333333329E-2</v>
      </c>
      <c r="T33" s="27">
        <v>0.15208333333333332</v>
      </c>
      <c r="U33" s="4"/>
      <c r="V33" s="21">
        <f t="shared" ref="V33:V38" si="29">(T33-S33)*24*60</f>
        <v>99</v>
      </c>
      <c r="W33" s="27">
        <f>T33</f>
        <v>0.15208333333333332</v>
      </c>
      <c r="X33" s="27">
        <f>S34</f>
        <v>0.17083333333333334</v>
      </c>
      <c r="Y33" s="27"/>
      <c r="Z33" s="27"/>
      <c r="AA33" s="162"/>
      <c r="AB33" s="162"/>
      <c r="AC33" s="24">
        <v>6</v>
      </c>
      <c r="AD33" s="24"/>
      <c r="AE33" s="18">
        <f t="shared" si="8"/>
        <v>-96.969696969696997</v>
      </c>
      <c r="AF33" s="20">
        <f t="shared" si="9"/>
        <v>0.95959595959595956</v>
      </c>
      <c r="AG33" s="170">
        <f>AF39</f>
        <v>0.95550116262782681</v>
      </c>
    </row>
    <row r="34" spans="1:33" ht="15.75" customHeight="1">
      <c r="A34" s="188" t="s">
        <v>599</v>
      </c>
      <c r="B34" s="35" t="s">
        <v>97</v>
      </c>
      <c r="C34" s="163" t="s">
        <v>304</v>
      </c>
      <c r="D34" s="163"/>
      <c r="E34" s="35">
        <v>21.68</v>
      </c>
      <c r="F34" s="4">
        <v>4200</v>
      </c>
      <c r="G34" s="4">
        <f t="shared" si="27"/>
        <v>91056</v>
      </c>
      <c r="H34" s="21">
        <v>2</v>
      </c>
      <c r="I34" s="15">
        <v>15</v>
      </c>
      <c r="J34" s="17">
        <v>2400</v>
      </c>
      <c r="K34" s="16">
        <f t="shared" si="1"/>
        <v>160</v>
      </c>
      <c r="L34" s="15">
        <v>15</v>
      </c>
      <c r="M34" s="17">
        <f t="shared" si="28"/>
        <v>2290.909090909091</v>
      </c>
      <c r="N34" s="16">
        <f t="shared" si="3"/>
        <v>152.72727272727272</v>
      </c>
      <c r="O34" s="18">
        <f t="shared" si="4"/>
        <v>0</v>
      </c>
      <c r="P34" s="19">
        <f t="shared" si="5"/>
        <v>-7.2727272727272805</v>
      </c>
      <c r="Q34" s="20">
        <f t="shared" si="6"/>
        <v>0.95454545454545447</v>
      </c>
      <c r="R34" s="170"/>
      <c r="S34" s="27">
        <v>0.17083333333333334</v>
      </c>
      <c r="T34" s="27">
        <v>0.24722222222222223</v>
      </c>
      <c r="U34" s="4">
        <f t="shared" ref="U34:U38" si="30">(S34-T33)*24*60</f>
        <v>27.000000000000025</v>
      </c>
      <c r="V34" s="21">
        <f t="shared" si="29"/>
        <v>110.00000000000001</v>
      </c>
      <c r="W34" s="4"/>
      <c r="X34" s="4"/>
      <c r="Y34" s="4"/>
      <c r="Z34" s="4"/>
      <c r="AA34" s="162"/>
      <c r="AB34" s="162"/>
      <c r="AC34" s="24"/>
      <c r="AD34" s="24"/>
      <c r="AE34" s="18">
        <f t="shared" si="8"/>
        <v>-109.09090909090901</v>
      </c>
      <c r="AF34" s="20">
        <f t="shared" si="9"/>
        <v>0.95454545454545459</v>
      </c>
      <c r="AG34" s="170"/>
    </row>
    <row r="35" spans="1:33">
      <c r="A35" s="189" t="s">
        <v>599</v>
      </c>
      <c r="B35" s="35" t="s">
        <v>97</v>
      </c>
      <c r="C35" s="163" t="s">
        <v>104</v>
      </c>
      <c r="D35" s="163"/>
      <c r="E35" s="35">
        <v>20.52</v>
      </c>
      <c r="F35" s="4">
        <v>3785</v>
      </c>
      <c r="G35" s="4">
        <f t="shared" si="27"/>
        <v>77668.2</v>
      </c>
      <c r="H35" s="21" t="s">
        <v>133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si="28"/>
        <v>2293.9393939393949</v>
      </c>
      <c r="N35" s="16">
        <f t="shared" si="3"/>
        <v>127.4410774410775</v>
      </c>
      <c r="O35" s="18">
        <f t="shared" si="4"/>
        <v>0</v>
      </c>
      <c r="P35" s="19">
        <f t="shared" si="5"/>
        <v>-5.8922558922558466</v>
      </c>
      <c r="Q35" s="20">
        <f t="shared" si="6"/>
        <v>0.95580808080808111</v>
      </c>
      <c r="R35" s="170"/>
      <c r="S35" s="27">
        <v>0.25069444444444444</v>
      </c>
      <c r="T35" s="27">
        <v>0.31944444444444442</v>
      </c>
      <c r="U35" s="4">
        <f t="shared" si="30"/>
        <v>4.9999999999999822</v>
      </c>
      <c r="V35" s="21">
        <f t="shared" si="29"/>
        <v>98.999999999999972</v>
      </c>
      <c r="W35" s="4"/>
      <c r="X35" s="4"/>
      <c r="Y35" s="4"/>
      <c r="Z35" s="4"/>
      <c r="AA35" s="162"/>
      <c r="AB35" s="162"/>
      <c r="AC35" s="24"/>
      <c r="AD35" s="24"/>
      <c r="AE35" s="18">
        <f t="shared" si="8"/>
        <v>-106.0606060606051</v>
      </c>
      <c r="AF35" s="20">
        <f t="shared" si="9"/>
        <v>0.95580808080808122</v>
      </c>
      <c r="AG35" s="170"/>
    </row>
    <row r="36" spans="1:33">
      <c r="A36" s="189" t="s">
        <v>599</v>
      </c>
      <c r="B36" s="35" t="s">
        <v>97</v>
      </c>
      <c r="C36" s="163" t="s">
        <v>105</v>
      </c>
      <c r="D36" s="163"/>
      <c r="E36" s="35">
        <v>26.39</v>
      </c>
      <c r="F36" s="4">
        <v>5467</v>
      </c>
      <c r="G36" s="4">
        <f t="shared" si="27"/>
        <v>144274.13</v>
      </c>
      <c r="H36" s="21" t="s">
        <v>133</v>
      </c>
      <c r="I36" s="15">
        <v>19</v>
      </c>
      <c r="J36" s="17">
        <v>2400</v>
      </c>
      <c r="K36" s="16">
        <f t="shared" si="1"/>
        <v>126.31578947368421</v>
      </c>
      <c r="L36" s="15">
        <v>19</v>
      </c>
      <c r="M36" s="17">
        <f t="shared" si="28"/>
        <v>2293.8461538461543</v>
      </c>
      <c r="N36" s="16">
        <f t="shared" si="3"/>
        <v>120.72874493927128</v>
      </c>
      <c r="O36" s="18">
        <f t="shared" si="4"/>
        <v>0</v>
      </c>
      <c r="P36" s="19">
        <f t="shared" si="5"/>
        <v>-5.5870445344129251</v>
      </c>
      <c r="Q36" s="20">
        <f t="shared" si="6"/>
        <v>0.95576923076923104</v>
      </c>
      <c r="R36" s="170"/>
      <c r="S36" s="27">
        <v>0.32361111111111107</v>
      </c>
      <c r="T36" s="27">
        <v>0.42291666666666661</v>
      </c>
      <c r="U36" s="4">
        <f t="shared" si="30"/>
        <v>5.9999999999999787</v>
      </c>
      <c r="V36" s="21">
        <f t="shared" si="29"/>
        <v>142.99999999999997</v>
      </c>
      <c r="W36" s="22"/>
      <c r="X36" s="22"/>
      <c r="Y36" s="22"/>
      <c r="Z36" s="22"/>
      <c r="AA36" s="162"/>
      <c r="AB36" s="162"/>
      <c r="AC36" s="24"/>
      <c r="AD36" s="24"/>
      <c r="AE36" s="18">
        <f t="shared" si="8"/>
        <v>-106.15384615384573</v>
      </c>
      <c r="AF36" s="20">
        <f t="shared" si="9"/>
        <v>0.95576923076923093</v>
      </c>
      <c r="AG36" s="170"/>
    </row>
    <row r="37" spans="1:33">
      <c r="A37" s="189" t="s">
        <v>599</v>
      </c>
      <c r="B37" s="35" t="s">
        <v>97</v>
      </c>
      <c r="C37" s="163" t="s">
        <v>107</v>
      </c>
      <c r="D37" s="163"/>
      <c r="E37" s="35">
        <v>20.52</v>
      </c>
      <c r="F37" s="4">
        <v>2785</v>
      </c>
      <c r="G37" s="4">
        <f t="shared" si="27"/>
        <v>57148.2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15">
        <v>18</v>
      </c>
      <c r="M37" s="17">
        <f t="shared" si="28"/>
        <v>2289.0410958904117</v>
      </c>
      <c r="N37" s="16">
        <f t="shared" si="3"/>
        <v>127.16894977168954</v>
      </c>
      <c r="O37" s="18">
        <f t="shared" si="4"/>
        <v>0</v>
      </c>
      <c r="P37" s="19">
        <f t="shared" si="5"/>
        <v>-6.1643835616438025</v>
      </c>
      <c r="Q37" s="20">
        <f t="shared" si="6"/>
        <v>0.95376712328767144</v>
      </c>
      <c r="R37" s="170"/>
      <c r="S37" s="27">
        <v>0.4277777777777777</v>
      </c>
      <c r="T37" s="27">
        <v>0.47847222222222213</v>
      </c>
      <c r="U37" s="4">
        <f t="shared" si="30"/>
        <v>6.9999999999999751</v>
      </c>
      <c r="V37" s="21">
        <f t="shared" si="29"/>
        <v>72.999999999999986</v>
      </c>
      <c r="W37" s="22">
        <f>T37</f>
        <v>0.47847222222222213</v>
      </c>
      <c r="X37" s="22">
        <f>S38</f>
        <v>0.52013888888888871</v>
      </c>
      <c r="Y37" s="22"/>
      <c r="Z37" s="22"/>
      <c r="AA37" s="162"/>
      <c r="AB37" s="162"/>
      <c r="AC37" s="24"/>
      <c r="AD37" s="24"/>
      <c r="AE37" s="18">
        <f t="shared" si="8"/>
        <v>-110.95890410958827</v>
      </c>
      <c r="AF37" s="20">
        <f t="shared" si="9"/>
        <v>0.95376712328767155</v>
      </c>
      <c r="AG37" s="170"/>
    </row>
    <row r="38" spans="1:33">
      <c r="A38" s="189" t="s">
        <v>599</v>
      </c>
      <c r="B38" s="35" t="s">
        <v>97</v>
      </c>
      <c r="C38" s="163" t="s">
        <v>304</v>
      </c>
      <c r="D38" s="163"/>
      <c r="E38" s="35">
        <v>21.68</v>
      </c>
      <c r="F38" s="4">
        <v>2708</v>
      </c>
      <c r="G38" s="4">
        <f t="shared" si="27"/>
        <v>58709.440000000002</v>
      </c>
      <c r="H38" s="21" t="s">
        <v>133</v>
      </c>
      <c r="I38" s="15">
        <v>15</v>
      </c>
      <c r="J38" s="17">
        <v>2400</v>
      </c>
      <c r="K38" s="16">
        <f t="shared" si="1"/>
        <v>160</v>
      </c>
      <c r="L38" s="15">
        <v>15</v>
      </c>
      <c r="M38" s="17">
        <f t="shared" si="28"/>
        <v>2288.4507042253499</v>
      </c>
      <c r="N38" s="16">
        <f t="shared" si="3"/>
        <v>152.56338028169</v>
      </c>
      <c r="O38" s="18">
        <f t="shared" si="4"/>
        <v>0</v>
      </c>
      <c r="P38" s="19">
        <f t="shared" si="5"/>
        <v>-7.4366197183099985</v>
      </c>
      <c r="Q38" s="20">
        <f t="shared" si="6"/>
        <v>0.95352112676056255</v>
      </c>
      <c r="R38" s="170"/>
      <c r="S38" s="27">
        <v>0.52013888888888871</v>
      </c>
      <c r="T38" s="27">
        <v>0.56944444444444431</v>
      </c>
      <c r="U38" s="4">
        <f t="shared" si="30"/>
        <v>59.999999999999865</v>
      </c>
      <c r="V38" s="21">
        <f t="shared" si="29"/>
        <v>71.000000000000071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-111.54929577465009</v>
      </c>
      <c r="AF38" s="20">
        <f t="shared" si="9"/>
        <v>0.95352112676056244</v>
      </c>
      <c r="AG38" s="170"/>
    </row>
    <row r="39" spans="1:33">
      <c r="A39" s="189" t="s">
        <v>599</v>
      </c>
      <c r="B39" s="16" t="s">
        <v>595</v>
      </c>
      <c r="C39" s="171"/>
      <c r="D39" s="171"/>
      <c r="E39" s="36"/>
      <c r="F39" s="16"/>
      <c r="G39" s="16"/>
      <c r="H39" s="4"/>
      <c r="I39" s="29">
        <v>17.166666666666668</v>
      </c>
      <c r="J39" s="17">
        <v>2400</v>
      </c>
      <c r="K39" s="16">
        <f t="shared" si="1"/>
        <v>139.80582524271844</v>
      </c>
      <c r="L39" s="29">
        <v>17.166666666666668</v>
      </c>
      <c r="M39" s="17">
        <f>AVERAGE(M33:M38)</f>
        <v>2293.2027903067842</v>
      </c>
      <c r="N39" s="16">
        <f t="shared" si="3"/>
        <v>133.58462856156024</v>
      </c>
      <c r="O39" s="18">
        <f t="shared" si="4"/>
        <v>0</v>
      </c>
      <c r="P39" s="19">
        <f t="shared" si="5"/>
        <v>-6.2211966811582045</v>
      </c>
      <c r="Q39" s="20">
        <f t="shared" si="6"/>
        <v>0.95550116262782669</v>
      </c>
      <c r="R39" s="170"/>
      <c r="S39" s="27"/>
      <c r="T39" s="27"/>
      <c r="U39" s="16"/>
      <c r="V39" s="21"/>
      <c r="W39" s="16"/>
      <c r="X39" s="16"/>
      <c r="Y39" s="30">
        <f>SUM(Y33:Y38)</f>
        <v>0</v>
      </c>
      <c r="Z39" s="30">
        <f>SUM(Z33:Z38)</f>
        <v>0</v>
      </c>
      <c r="AA39" s="166"/>
      <c r="AB39" s="166"/>
      <c r="AC39" s="30">
        <f>SUM(AC33:AC38)</f>
        <v>6</v>
      </c>
      <c r="AD39" s="30">
        <f>SUM(AD33:AD38)</f>
        <v>0</v>
      </c>
      <c r="AE39" s="18">
        <f t="shared" si="8"/>
        <v>-106.79720969321579</v>
      </c>
      <c r="AF39" s="20">
        <f t="shared" si="9"/>
        <v>0.95550116262782681</v>
      </c>
      <c r="AG39" s="170"/>
    </row>
    <row r="40" spans="1:33" ht="15.75" customHeight="1">
      <c r="A40" s="182" t="s">
        <v>600</v>
      </c>
      <c r="B40" s="35" t="s">
        <v>108</v>
      </c>
      <c r="C40" s="174" t="s">
        <v>109</v>
      </c>
      <c r="D40" s="175"/>
      <c r="E40" s="35">
        <v>34.36</v>
      </c>
      <c r="F40" s="4">
        <v>2342</v>
      </c>
      <c r="G40" s="4">
        <f t="shared" ref="G40:G45" si="31">E40*F40</f>
        <v>80471.12</v>
      </c>
      <c r="H40" s="21" t="s">
        <v>133</v>
      </c>
      <c r="I40" s="15">
        <v>10</v>
      </c>
      <c r="J40" s="17">
        <v>3000</v>
      </c>
      <c r="K40" s="16">
        <f t="shared" si="1"/>
        <v>300</v>
      </c>
      <c r="L40" s="15">
        <v>10</v>
      </c>
      <c r="M40" s="17">
        <f t="shared" ref="M40:M45" si="32">F40/V40*60</f>
        <v>2867.7551020408155</v>
      </c>
      <c r="N40" s="17">
        <f t="shared" si="3"/>
        <v>286.77551020408157</v>
      </c>
      <c r="O40" s="18">
        <f t="shared" si="4"/>
        <v>0</v>
      </c>
      <c r="P40" s="19">
        <f t="shared" si="5"/>
        <v>-13.22448979591843</v>
      </c>
      <c r="Q40" s="20">
        <f t="shared" si="6"/>
        <v>0.95591836734693858</v>
      </c>
      <c r="R40" s="185">
        <f>Q46</f>
        <v>0.95621736413863812</v>
      </c>
      <c r="S40" s="27">
        <v>8.3333333333333329E-2</v>
      </c>
      <c r="T40" s="27">
        <v>0.11736111111111111</v>
      </c>
      <c r="U40" s="27"/>
      <c r="V40" s="21">
        <f t="shared" ref="V40:V45" si="33">(T40-S40)*24*60</f>
        <v>49.000000000000007</v>
      </c>
      <c r="W40" s="22"/>
      <c r="X40" s="22"/>
      <c r="Y40" s="25"/>
      <c r="Z40" s="25"/>
      <c r="AA40" s="176"/>
      <c r="AB40" s="177"/>
      <c r="AC40" s="24">
        <v>6</v>
      </c>
      <c r="AD40" s="24"/>
      <c r="AE40" s="18">
        <f t="shared" si="8"/>
        <v>-132.24489795918453</v>
      </c>
      <c r="AF40" s="20">
        <f t="shared" si="9"/>
        <v>0.95591836734693847</v>
      </c>
      <c r="AG40" s="185">
        <f>AF46</f>
        <v>0.956217364138638</v>
      </c>
    </row>
    <row r="41" spans="1:33" ht="15.75" customHeight="1">
      <c r="A41" s="183" t="s">
        <v>600</v>
      </c>
      <c r="B41" s="35" t="s">
        <v>108</v>
      </c>
      <c r="C41" s="174" t="s">
        <v>110</v>
      </c>
      <c r="D41" s="175"/>
      <c r="E41" s="35">
        <v>26.78</v>
      </c>
      <c r="F41" s="4">
        <v>2676</v>
      </c>
      <c r="G41" s="4">
        <f t="shared" si="31"/>
        <v>71663.28</v>
      </c>
      <c r="H41" s="21" t="s">
        <v>133</v>
      </c>
      <c r="I41" s="15">
        <v>10</v>
      </c>
      <c r="J41" s="17">
        <v>3000</v>
      </c>
      <c r="K41" s="16">
        <f t="shared" si="1"/>
        <v>300</v>
      </c>
      <c r="L41" s="15">
        <v>10</v>
      </c>
      <c r="M41" s="17">
        <f t="shared" si="32"/>
        <v>2867.1428571428582</v>
      </c>
      <c r="N41" s="17">
        <f t="shared" si="3"/>
        <v>286.71428571428584</v>
      </c>
      <c r="O41" s="18">
        <f t="shared" si="4"/>
        <v>0</v>
      </c>
      <c r="P41" s="19">
        <f t="shared" si="5"/>
        <v>-13.285714285714164</v>
      </c>
      <c r="Q41" s="20">
        <f t="shared" si="6"/>
        <v>0.95571428571428607</v>
      </c>
      <c r="R41" s="186"/>
      <c r="S41" s="27">
        <v>0.12222222222222222</v>
      </c>
      <c r="T41" s="27">
        <v>0.16111111111111109</v>
      </c>
      <c r="U41" s="4">
        <f t="shared" ref="U41:U45" si="34">(S41-T40)*24*60</f>
        <v>6.9999999999999947</v>
      </c>
      <c r="V41" s="21">
        <f t="shared" si="33"/>
        <v>55.999999999999979</v>
      </c>
      <c r="W41" s="22">
        <f>T41</f>
        <v>0.16111111111111109</v>
      </c>
      <c r="X41" s="22">
        <f>S42</f>
        <v>0.17986111111111108</v>
      </c>
      <c r="Y41" s="25"/>
      <c r="Z41" s="25"/>
      <c r="AA41" s="176"/>
      <c r="AB41" s="177"/>
      <c r="AC41" s="24"/>
      <c r="AD41" s="24"/>
      <c r="AE41" s="18">
        <f t="shared" si="8"/>
        <v>-132.85714285714175</v>
      </c>
      <c r="AF41" s="20">
        <f t="shared" si="9"/>
        <v>0.95571428571428607</v>
      </c>
      <c r="AG41" s="186"/>
    </row>
    <row r="42" spans="1:33" ht="15.75" customHeight="1">
      <c r="A42" s="183" t="s">
        <v>600</v>
      </c>
      <c r="B42" s="35" t="s">
        <v>108</v>
      </c>
      <c r="C42" s="174" t="s">
        <v>111</v>
      </c>
      <c r="D42" s="175"/>
      <c r="E42" s="35">
        <v>21.13</v>
      </c>
      <c r="F42" s="4">
        <v>4870</v>
      </c>
      <c r="G42" s="4">
        <f t="shared" si="31"/>
        <v>102903.09999999999</v>
      </c>
      <c r="H42" s="21" t="s">
        <v>133</v>
      </c>
      <c r="I42" s="15">
        <v>10</v>
      </c>
      <c r="J42" s="17">
        <v>3000</v>
      </c>
      <c r="K42" s="16">
        <f t="shared" si="1"/>
        <v>300</v>
      </c>
      <c r="L42" s="15">
        <v>10</v>
      </c>
      <c r="M42" s="17">
        <f t="shared" si="32"/>
        <v>2864.7058823529401</v>
      </c>
      <c r="N42" s="17">
        <f t="shared" si="3"/>
        <v>286.47058823529403</v>
      </c>
      <c r="O42" s="18">
        <f t="shared" si="4"/>
        <v>0</v>
      </c>
      <c r="P42" s="19">
        <f t="shared" si="5"/>
        <v>-13.529411764705969</v>
      </c>
      <c r="Q42" s="20">
        <f t="shared" si="6"/>
        <v>0.95490196078431344</v>
      </c>
      <c r="R42" s="186"/>
      <c r="S42" s="27">
        <v>0.17986111111111108</v>
      </c>
      <c r="T42" s="27">
        <v>0.25069444444444444</v>
      </c>
      <c r="U42" s="4">
        <f t="shared" si="34"/>
        <v>26.999999999999986</v>
      </c>
      <c r="V42" s="21">
        <f t="shared" si="33"/>
        <v>102.00000000000004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-135.29411764705992</v>
      </c>
      <c r="AF42" s="20">
        <f t="shared" si="9"/>
        <v>0.95490196078431333</v>
      </c>
      <c r="AG42" s="186"/>
    </row>
    <row r="43" spans="1:33" ht="15.75" customHeight="1">
      <c r="A43" s="183" t="s">
        <v>600</v>
      </c>
      <c r="B43" s="35" t="s">
        <v>108</v>
      </c>
      <c r="C43" s="174" t="s">
        <v>112</v>
      </c>
      <c r="D43" s="175"/>
      <c r="E43" s="35">
        <v>27.17</v>
      </c>
      <c r="F43" s="4">
        <v>6363</v>
      </c>
      <c r="G43" s="4">
        <f t="shared" si="31"/>
        <v>172882.71000000002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15">
        <v>10</v>
      </c>
      <c r="M43" s="17">
        <f t="shared" si="32"/>
        <v>2870.5263157894738</v>
      </c>
      <c r="N43" s="17">
        <f t="shared" si="3"/>
        <v>287.0526315789474</v>
      </c>
      <c r="O43" s="18">
        <f t="shared" si="4"/>
        <v>0</v>
      </c>
      <c r="P43" s="19">
        <f t="shared" si="5"/>
        <v>-12.947368421052602</v>
      </c>
      <c r="Q43" s="20">
        <f t="shared" si="6"/>
        <v>0.95684210526315805</v>
      </c>
      <c r="R43" s="186"/>
      <c r="S43" s="27">
        <v>0.25416666666666665</v>
      </c>
      <c r="T43" s="27">
        <v>0.34652777777777777</v>
      </c>
      <c r="U43" s="4">
        <f t="shared" si="34"/>
        <v>4.9999999999999822</v>
      </c>
      <c r="V43" s="21">
        <f t="shared" si="33"/>
        <v>133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8"/>
        <v>-129.47368421052624</v>
      </c>
      <c r="AF43" s="20">
        <f t="shared" si="9"/>
        <v>0.95684210526315794</v>
      </c>
      <c r="AG43" s="186"/>
    </row>
    <row r="44" spans="1:33" ht="15.75" customHeight="1">
      <c r="A44" s="183" t="s">
        <v>600</v>
      </c>
      <c r="B44" s="35" t="s">
        <v>108</v>
      </c>
      <c r="C44" s="174" t="s">
        <v>305</v>
      </c>
      <c r="D44" s="175"/>
      <c r="E44" s="35">
        <v>27.03</v>
      </c>
      <c r="F44" s="4">
        <v>5679</v>
      </c>
      <c r="G44" s="4">
        <f t="shared" si="31"/>
        <v>153503.37</v>
      </c>
      <c r="H44" s="21" t="s">
        <v>133</v>
      </c>
      <c r="I44" s="15">
        <v>8</v>
      </c>
      <c r="J44" s="17">
        <v>3000</v>
      </c>
      <c r="K44" s="16">
        <f t="shared" si="1"/>
        <v>375</v>
      </c>
      <c r="L44" s="15">
        <v>8</v>
      </c>
      <c r="M44" s="17">
        <f t="shared" si="32"/>
        <v>2863.361344537816</v>
      </c>
      <c r="N44" s="17">
        <f t="shared" si="3"/>
        <v>357.920168067227</v>
      </c>
      <c r="O44" s="18">
        <f t="shared" si="4"/>
        <v>0</v>
      </c>
      <c r="P44" s="19">
        <f t="shared" si="5"/>
        <v>-17.079831932773004</v>
      </c>
      <c r="Q44" s="20">
        <f t="shared" si="6"/>
        <v>0.95445378151260529</v>
      </c>
      <c r="R44" s="186"/>
      <c r="S44" s="27">
        <v>0.35</v>
      </c>
      <c r="T44" s="27">
        <v>0.43263888888888885</v>
      </c>
      <c r="U44" s="4">
        <f t="shared" si="34"/>
        <v>4.9999999999999822</v>
      </c>
      <c r="V44" s="21">
        <f t="shared" si="33"/>
        <v>118.99999999999997</v>
      </c>
      <c r="W44" s="22"/>
      <c r="X44" s="22"/>
      <c r="Y44" s="25"/>
      <c r="Z44" s="25"/>
      <c r="AA44" s="176"/>
      <c r="AB44" s="177"/>
      <c r="AC44" s="24"/>
      <c r="AD44" s="24"/>
      <c r="AE44" s="18">
        <f t="shared" si="8"/>
        <v>-136.63865546218403</v>
      </c>
      <c r="AF44" s="20">
        <f t="shared" si="9"/>
        <v>0.95445378151260529</v>
      </c>
      <c r="AG44" s="186"/>
    </row>
    <row r="45" spans="1:33" ht="15.75" customHeight="1">
      <c r="A45" s="183" t="s">
        <v>600</v>
      </c>
      <c r="B45" s="35" t="s">
        <v>108</v>
      </c>
      <c r="C45" s="174" t="s">
        <v>113</v>
      </c>
      <c r="D45" s="175"/>
      <c r="E45" s="35">
        <v>35.869999999999997</v>
      </c>
      <c r="F45" s="4">
        <v>3646</v>
      </c>
      <c r="G45" s="4">
        <f t="shared" si="31"/>
        <v>130782.01999999999</v>
      </c>
      <c r="H45" s="21" t="s">
        <v>133</v>
      </c>
      <c r="I45" s="15">
        <v>9</v>
      </c>
      <c r="J45" s="17">
        <v>3000</v>
      </c>
      <c r="K45" s="16">
        <f t="shared" si="1"/>
        <v>333.33333333333331</v>
      </c>
      <c r="L45" s="15">
        <v>9</v>
      </c>
      <c r="M45" s="17">
        <f t="shared" si="32"/>
        <v>2878.4210526315801</v>
      </c>
      <c r="N45" s="17">
        <f t="shared" si="3"/>
        <v>319.82456140350888</v>
      </c>
      <c r="O45" s="18">
        <f t="shared" si="4"/>
        <v>0</v>
      </c>
      <c r="P45" s="19">
        <f t="shared" si="5"/>
        <v>-13.508771929824434</v>
      </c>
      <c r="Q45" s="20">
        <f t="shared" si="6"/>
        <v>0.9594736842105267</v>
      </c>
      <c r="R45" s="186"/>
      <c r="S45" s="27">
        <v>0.43749999999999994</v>
      </c>
      <c r="T45" s="27">
        <v>0.4902777777777777</v>
      </c>
      <c r="U45" s="4">
        <f t="shared" si="34"/>
        <v>6.9999999999999751</v>
      </c>
      <c r="V45" s="21">
        <f t="shared" si="33"/>
        <v>75.999999999999972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-121.5789473684199</v>
      </c>
      <c r="AF45" s="20">
        <f t="shared" si="9"/>
        <v>0.9594736842105267</v>
      </c>
      <c r="AG45" s="186"/>
    </row>
    <row r="46" spans="1:33" ht="15.75" customHeight="1">
      <c r="A46" s="184" t="s">
        <v>600</v>
      </c>
      <c r="B46" s="35" t="s">
        <v>595</v>
      </c>
      <c r="C46" s="164"/>
      <c r="D46" s="165"/>
      <c r="E46" s="37"/>
      <c r="F46" s="4"/>
      <c r="G46" s="4"/>
      <c r="H46" s="4"/>
      <c r="I46" s="29">
        <v>9.5</v>
      </c>
      <c r="J46" s="17">
        <v>3000</v>
      </c>
      <c r="K46" s="16">
        <f t="shared" si="1"/>
        <v>315.78947368421052</v>
      </c>
      <c r="L46" s="29">
        <v>9.5</v>
      </c>
      <c r="M46" s="17">
        <f>AVERAGE(M40:M45)</f>
        <v>2868.652092415914</v>
      </c>
      <c r="N46" s="16">
        <f t="shared" si="3"/>
        <v>301.96337814904359</v>
      </c>
      <c r="O46" s="18">
        <f t="shared" si="4"/>
        <v>0</v>
      </c>
      <c r="P46" s="19">
        <f t="shared" si="5"/>
        <v>-13.826095535166928</v>
      </c>
      <c r="Q46" s="20">
        <f t="shared" si="6"/>
        <v>0.95621736413863812</v>
      </c>
      <c r="R46" s="187"/>
      <c r="S46" s="27"/>
      <c r="T46" s="27"/>
      <c r="U46" s="4"/>
      <c r="V46" s="21"/>
      <c r="W46" s="22"/>
      <c r="X46" s="22"/>
      <c r="Y46" s="30">
        <f>SUM(Y40:Y45)</f>
        <v>0</v>
      </c>
      <c r="Z46" s="30">
        <f>SUM(Z40:Z45)</f>
        <v>0</v>
      </c>
      <c r="AA46" s="180"/>
      <c r="AB46" s="181"/>
      <c r="AC46" s="30">
        <f>SUM(AC40:AC45)</f>
        <v>6</v>
      </c>
      <c r="AD46" s="30">
        <f>SUM(AD40:AD45)</f>
        <v>0</v>
      </c>
      <c r="AE46" s="18">
        <f t="shared" si="8"/>
        <v>-131.34790758408599</v>
      </c>
      <c r="AF46" s="20">
        <f t="shared" si="9"/>
        <v>0.956217364138638</v>
      </c>
      <c r="AG46" s="187"/>
    </row>
    <row r="47" spans="1:33" ht="15.75" customHeight="1">
      <c r="A47" s="178" t="s">
        <v>601</v>
      </c>
      <c r="B47" s="35" t="s">
        <v>84</v>
      </c>
      <c r="C47" s="163" t="s">
        <v>114</v>
      </c>
      <c r="D47" s="163"/>
      <c r="E47" s="35">
        <v>46</v>
      </c>
      <c r="F47" s="38">
        <v>1537</v>
      </c>
      <c r="G47" s="4">
        <f t="shared" ref="G47:G54" si="35">E47*F47</f>
        <v>70702</v>
      </c>
      <c r="H47" s="21" t="s">
        <v>133</v>
      </c>
      <c r="I47" s="15">
        <v>17</v>
      </c>
      <c r="J47" s="17">
        <v>2000</v>
      </c>
      <c r="K47" s="16">
        <f t="shared" si="1"/>
        <v>117.64705882352941</v>
      </c>
      <c r="L47" s="15">
        <v>17</v>
      </c>
      <c r="M47" s="17">
        <f t="shared" ref="M47:M54" si="36">F47/V47*60</f>
        <v>1921.2500000000005</v>
      </c>
      <c r="N47" s="17">
        <f t="shared" si="3"/>
        <v>113.01470588235297</v>
      </c>
      <c r="O47" s="18">
        <f t="shared" si="4"/>
        <v>0</v>
      </c>
      <c r="P47" s="19">
        <f t="shared" si="5"/>
        <v>-4.6323529411764355</v>
      </c>
      <c r="Q47" s="20">
        <f t="shared" si="6"/>
        <v>0.96062500000000028</v>
      </c>
      <c r="R47" s="170">
        <f>Q55</f>
        <v>0.95029573088434904</v>
      </c>
      <c r="S47" s="27">
        <v>0.20833333333333334</v>
      </c>
      <c r="T47" s="27">
        <v>0.24166666666666667</v>
      </c>
      <c r="U47" s="27"/>
      <c r="V47" s="21">
        <f t="shared" ref="V47:V54" si="37">(T47-S47)*24*60</f>
        <v>47.999999999999986</v>
      </c>
      <c r="W47" s="27"/>
      <c r="X47" s="27"/>
      <c r="Y47" s="27"/>
      <c r="Z47" s="27"/>
      <c r="AA47" s="162"/>
      <c r="AB47" s="162"/>
      <c r="AC47" s="24">
        <v>8</v>
      </c>
      <c r="AD47" s="24"/>
      <c r="AE47" s="18">
        <f t="shared" si="8"/>
        <v>-78.749999999999545</v>
      </c>
      <c r="AF47" s="20">
        <f t="shared" si="9"/>
        <v>0.96062500000000017</v>
      </c>
      <c r="AG47" s="170">
        <f>AF55</f>
        <v>0.95029573088434904</v>
      </c>
    </row>
    <row r="48" spans="1:33" ht="15.75" customHeight="1">
      <c r="A48" s="178" t="s">
        <v>601</v>
      </c>
      <c r="B48" s="35" t="s">
        <v>78</v>
      </c>
      <c r="C48" s="163" t="s">
        <v>115</v>
      </c>
      <c r="D48" s="163"/>
      <c r="E48" s="35">
        <v>56.43</v>
      </c>
      <c r="F48" s="38">
        <v>1612</v>
      </c>
      <c r="G48" s="4">
        <f t="shared" si="35"/>
        <v>90965.16</v>
      </c>
      <c r="H48" s="21" t="s">
        <v>133</v>
      </c>
      <c r="I48" s="15">
        <v>22</v>
      </c>
      <c r="J48" s="17">
        <v>2000</v>
      </c>
      <c r="K48" s="16">
        <f t="shared" si="1"/>
        <v>90.909090909090907</v>
      </c>
      <c r="L48" s="15">
        <v>22</v>
      </c>
      <c r="M48" s="17">
        <f t="shared" si="36"/>
        <v>1824.9056603773595</v>
      </c>
      <c r="N48" s="17">
        <f t="shared" si="3"/>
        <v>82.950257289879971</v>
      </c>
      <c r="O48" s="18">
        <f t="shared" si="4"/>
        <v>0</v>
      </c>
      <c r="P48" s="19">
        <f t="shared" si="5"/>
        <v>-7.9588336192109352</v>
      </c>
      <c r="Q48" s="20">
        <f t="shared" si="6"/>
        <v>0.91245283018867973</v>
      </c>
      <c r="R48" s="170"/>
      <c r="S48" s="27">
        <v>0.24652777777777779</v>
      </c>
      <c r="T48" s="27">
        <v>0.28333333333333333</v>
      </c>
      <c r="U48" s="4">
        <f t="shared" ref="U48:U54" si="38">IF(S48=TIME(17,0,0),"",(S48-T47)*24*60)</f>
        <v>7.0000000000000151</v>
      </c>
      <c r="V48" s="21">
        <f t="shared" si="37"/>
        <v>52.999999999999972</v>
      </c>
      <c r="W48" s="22"/>
      <c r="X48" s="22"/>
      <c r="Y48" s="22"/>
      <c r="Z48" s="22"/>
      <c r="AA48" s="162"/>
      <c r="AB48" s="162"/>
      <c r="AC48" s="24"/>
      <c r="AD48" s="24"/>
      <c r="AE48" s="18">
        <f t="shared" si="8"/>
        <v>-175.09433962264052</v>
      </c>
      <c r="AF48" s="20">
        <f t="shared" si="9"/>
        <v>0.91245283018867973</v>
      </c>
      <c r="AG48" s="170"/>
    </row>
    <row r="49" spans="1:33" ht="15.75" customHeight="1">
      <c r="A49" s="178" t="s">
        <v>601</v>
      </c>
      <c r="B49" s="35" t="s">
        <v>78</v>
      </c>
      <c r="C49" s="174" t="s">
        <v>116</v>
      </c>
      <c r="D49" s="175"/>
      <c r="E49" s="35">
        <v>51.75</v>
      </c>
      <c r="F49" s="38">
        <v>1175</v>
      </c>
      <c r="G49" s="4">
        <f t="shared" si="35"/>
        <v>60806.25</v>
      </c>
      <c r="H49" s="21" t="s">
        <v>133</v>
      </c>
      <c r="I49" s="15">
        <v>25</v>
      </c>
      <c r="J49" s="17">
        <v>2000</v>
      </c>
      <c r="K49" s="16">
        <f t="shared" si="1"/>
        <v>80</v>
      </c>
      <c r="L49" s="15">
        <v>25</v>
      </c>
      <c r="M49" s="17">
        <f t="shared" si="36"/>
        <v>1958.3333333333319</v>
      </c>
      <c r="N49" s="17">
        <f t="shared" si="3"/>
        <v>78.333333333333272</v>
      </c>
      <c r="O49" s="18">
        <f t="shared" si="4"/>
        <v>0</v>
      </c>
      <c r="P49" s="19">
        <f t="shared" si="5"/>
        <v>-1.6666666666667282</v>
      </c>
      <c r="Q49" s="20">
        <f t="shared" si="6"/>
        <v>0.97916666666666585</v>
      </c>
      <c r="R49" s="170"/>
      <c r="S49" s="27">
        <v>0.28680555555555554</v>
      </c>
      <c r="T49" s="27">
        <v>0.31180555555555556</v>
      </c>
      <c r="U49" s="4">
        <f t="shared" si="38"/>
        <v>4.9999999999999822</v>
      </c>
      <c r="V49" s="21">
        <f t="shared" si="37"/>
        <v>36.000000000000028</v>
      </c>
      <c r="W49" s="22"/>
      <c r="X49" s="22"/>
      <c r="Y49" s="25"/>
      <c r="Z49" s="25"/>
      <c r="AA49" s="162"/>
      <c r="AB49" s="162"/>
      <c r="AC49" s="24"/>
      <c r="AD49" s="24"/>
      <c r="AE49" s="18">
        <f t="shared" si="8"/>
        <v>-41.666666666668107</v>
      </c>
      <c r="AF49" s="20">
        <f t="shared" si="9"/>
        <v>0.97916666666666596</v>
      </c>
      <c r="AG49" s="170"/>
    </row>
    <row r="50" spans="1:33" ht="15.75" customHeight="1">
      <c r="A50" s="178" t="s">
        <v>601</v>
      </c>
      <c r="B50" s="35" t="s">
        <v>78</v>
      </c>
      <c r="C50" s="39" t="s">
        <v>117</v>
      </c>
      <c r="D50" s="40"/>
      <c r="E50" s="35">
        <v>54.09</v>
      </c>
      <c r="F50" s="38">
        <v>1532</v>
      </c>
      <c r="G50" s="4">
        <f t="shared" si="35"/>
        <v>82865.88</v>
      </c>
      <c r="H50" s="21" t="s">
        <v>133</v>
      </c>
      <c r="I50" s="15">
        <v>19</v>
      </c>
      <c r="J50" s="17">
        <v>2000</v>
      </c>
      <c r="K50" s="16">
        <f t="shared" si="1"/>
        <v>105.26315789473684</v>
      </c>
      <c r="L50" s="15">
        <v>19</v>
      </c>
      <c r="M50" s="17">
        <f t="shared" si="36"/>
        <v>1838.4000000000005</v>
      </c>
      <c r="N50" s="17">
        <f t="shared" si="3"/>
        <v>96.757894736842132</v>
      </c>
      <c r="O50" s="18">
        <f t="shared" si="4"/>
        <v>0</v>
      </c>
      <c r="P50" s="19">
        <f t="shared" si="5"/>
        <v>-8.5052631578947029</v>
      </c>
      <c r="Q50" s="20">
        <f t="shared" si="6"/>
        <v>0.91920000000000035</v>
      </c>
      <c r="R50" s="170"/>
      <c r="S50" s="27">
        <v>0.31666666666666665</v>
      </c>
      <c r="T50" s="27">
        <v>0.35138888888888886</v>
      </c>
      <c r="U50" s="4">
        <f t="shared" si="38"/>
        <v>6.9999999999999751</v>
      </c>
      <c r="V50" s="21">
        <f t="shared" si="37"/>
        <v>49.999999999999986</v>
      </c>
      <c r="W50" s="22"/>
      <c r="X50" s="22"/>
      <c r="Y50" s="25"/>
      <c r="Z50" s="25"/>
      <c r="AA50" s="162"/>
      <c r="AB50" s="162"/>
      <c r="AC50" s="24"/>
      <c r="AD50" s="24"/>
      <c r="AE50" s="18">
        <f t="shared" si="8"/>
        <v>-161.59999999999945</v>
      </c>
      <c r="AF50" s="20">
        <f t="shared" si="9"/>
        <v>0.91920000000000024</v>
      </c>
      <c r="AG50" s="170"/>
    </row>
    <row r="51" spans="1:33" ht="15.75" customHeight="1">
      <c r="A51" s="178" t="s">
        <v>601</v>
      </c>
      <c r="B51" s="35" t="s">
        <v>78</v>
      </c>
      <c r="C51" s="39" t="s">
        <v>118</v>
      </c>
      <c r="D51" s="40"/>
      <c r="E51" s="35">
        <v>57.73</v>
      </c>
      <c r="F51" s="38">
        <v>1014</v>
      </c>
      <c r="G51" s="4">
        <f t="shared" si="35"/>
        <v>58538.219999999994</v>
      </c>
      <c r="H51" s="21" t="s">
        <v>133</v>
      </c>
      <c r="I51" s="15">
        <v>16</v>
      </c>
      <c r="J51" s="17">
        <v>1500</v>
      </c>
      <c r="K51" s="16">
        <f t="shared" si="1"/>
        <v>93.75</v>
      </c>
      <c r="L51" s="15">
        <v>16</v>
      </c>
      <c r="M51" s="17">
        <f t="shared" si="36"/>
        <v>1448.5714285714282</v>
      </c>
      <c r="N51" s="17">
        <f t="shared" si="3"/>
        <v>90.535714285714263</v>
      </c>
      <c r="O51" s="18">
        <f t="shared" si="4"/>
        <v>0</v>
      </c>
      <c r="P51" s="19">
        <f t="shared" si="5"/>
        <v>-3.2142857142857366</v>
      </c>
      <c r="Q51" s="20">
        <f t="shared" si="6"/>
        <v>0.96571428571428553</v>
      </c>
      <c r="R51" s="170"/>
      <c r="S51" s="27">
        <v>0.70833333333333337</v>
      </c>
      <c r="T51" s="27">
        <v>0.73750000000000004</v>
      </c>
      <c r="U51" s="4" t="str">
        <f t="shared" si="38"/>
        <v/>
      </c>
      <c r="V51" s="21">
        <f t="shared" si="37"/>
        <v>42.000000000000014</v>
      </c>
      <c r="W51" s="22"/>
      <c r="X51" s="22"/>
      <c r="Y51" s="25"/>
      <c r="Z51" s="25"/>
      <c r="AA51" s="162"/>
      <c r="AB51" s="162"/>
      <c r="AC51" s="24"/>
      <c r="AD51" s="24"/>
      <c r="AE51" s="18">
        <f t="shared" si="8"/>
        <v>-51.428571428571786</v>
      </c>
      <c r="AF51" s="20">
        <f t="shared" si="9"/>
        <v>0.96571428571428553</v>
      </c>
      <c r="AG51" s="170"/>
    </row>
    <row r="52" spans="1:33" ht="15.75" customHeight="1">
      <c r="A52" s="178" t="s">
        <v>601</v>
      </c>
      <c r="B52" s="35" t="s">
        <v>78</v>
      </c>
      <c r="C52" s="174" t="s">
        <v>119</v>
      </c>
      <c r="D52" s="175"/>
      <c r="E52" s="35">
        <v>54.29</v>
      </c>
      <c r="F52" s="38">
        <v>1176</v>
      </c>
      <c r="G52" s="4">
        <f t="shared" si="35"/>
        <v>63845.04</v>
      </c>
      <c r="H52" s="21" t="s">
        <v>133</v>
      </c>
      <c r="I52" s="15">
        <v>20</v>
      </c>
      <c r="J52" s="17">
        <v>2000</v>
      </c>
      <c r="K52" s="16">
        <f t="shared" si="1"/>
        <v>100</v>
      </c>
      <c r="L52" s="15">
        <v>20</v>
      </c>
      <c r="M52" s="17">
        <f t="shared" si="36"/>
        <v>1907.0270270270257</v>
      </c>
      <c r="N52" s="17">
        <f t="shared" si="3"/>
        <v>95.351351351351283</v>
      </c>
      <c r="O52" s="18">
        <f t="shared" si="4"/>
        <v>0</v>
      </c>
      <c r="P52" s="19">
        <f t="shared" si="5"/>
        <v>-4.6486486486487166</v>
      </c>
      <c r="Q52" s="20">
        <f t="shared" si="6"/>
        <v>0.95351351351351288</v>
      </c>
      <c r="R52" s="170"/>
      <c r="S52" s="27">
        <v>0.74305555555555558</v>
      </c>
      <c r="T52" s="27">
        <v>0.76875000000000004</v>
      </c>
      <c r="U52" s="4">
        <f t="shared" si="38"/>
        <v>7.9999999999999716</v>
      </c>
      <c r="V52" s="21">
        <f t="shared" si="37"/>
        <v>37.000000000000028</v>
      </c>
      <c r="W52" s="22"/>
      <c r="X52" s="22"/>
      <c r="Y52" s="25"/>
      <c r="Z52" s="25"/>
      <c r="AA52" s="176"/>
      <c r="AB52" s="177"/>
      <c r="AC52" s="24"/>
      <c r="AD52" s="24"/>
      <c r="AE52" s="18">
        <f t="shared" si="8"/>
        <v>-92.972972972974276</v>
      </c>
      <c r="AF52" s="20">
        <f t="shared" si="9"/>
        <v>0.95351351351351288</v>
      </c>
      <c r="AG52" s="170"/>
    </row>
    <row r="53" spans="1:33" ht="15.75" customHeight="1">
      <c r="A53" s="178" t="s">
        <v>601</v>
      </c>
      <c r="B53" s="35" t="s">
        <v>78</v>
      </c>
      <c r="C53" s="174" t="s">
        <v>120</v>
      </c>
      <c r="D53" s="175"/>
      <c r="E53" s="35">
        <v>55.56</v>
      </c>
      <c r="F53" s="38">
        <v>1691</v>
      </c>
      <c r="G53" s="4">
        <f t="shared" si="35"/>
        <v>93951.96</v>
      </c>
      <c r="H53" s="21" t="s">
        <v>133</v>
      </c>
      <c r="I53" s="15">
        <v>17</v>
      </c>
      <c r="J53" s="17">
        <v>2000</v>
      </c>
      <c r="K53" s="16">
        <f t="shared" si="1"/>
        <v>117.64705882352941</v>
      </c>
      <c r="L53" s="15">
        <v>17</v>
      </c>
      <c r="M53" s="17">
        <f t="shared" si="36"/>
        <v>1914.3396226415105</v>
      </c>
      <c r="N53" s="17">
        <f t="shared" si="3"/>
        <v>112.60821309655944</v>
      </c>
      <c r="O53" s="18">
        <f t="shared" si="4"/>
        <v>0</v>
      </c>
      <c r="P53" s="19">
        <f t="shared" si="5"/>
        <v>-5.0388457269699671</v>
      </c>
      <c r="Q53" s="20">
        <f t="shared" si="6"/>
        <v>0.95716981132075529</v>
      </c>
      <c r="R53" s="170"/>
      <c r="S53" s="27">
        <v>0.77222222222222225</v>
      </c>
      <c r="T53" s="27">
        <v>0.80902777777777779</v>
      </c>
      <c r="U53" s="4">
        <f t="shared" si="38"/>
        <v>4.9999999999999822</v>
      </c>
      <c r="V53" s="21">
        <f t="shared" si="37"/>
        <v>52.999999999999972</v>
      </c>
      <c r="W53" s="22"/>
      <c r="X53" s="22"/>
      <c r="Y53" s="25"/>
      <c r="Z53" s="25"/>
      <c r="AA53" s="176"/>
      <c r="AB53" s="177"/>
      <c r="AC53" s="24"/>
      <c r="AD53" s="24"/>
      <c r="AE53" s="18">
        <f t="shared" si="8"/>
        <v>-85.660377358489541</v>
      </c>
      <c r="AF53" s="20">
        <f t="shared" si="9"/>
        <v>0.95716981132075518</v>
      </c>
      <c r="AG53" s="170"/>
    </row>
    <row r="54" spans="1:33" ht="15.75" customHeight="1">
      <c r="A54" s="178" t="s">
        <v>601</v>
      </c>
      <c r="B54" s="35" t="s">
        <v>78</v>
      </c>
      <c r="C54" s="174" t="s">
        <v>121</v>
      </c>
      <c r="D54" s="175"/>
      <c r="E54" s="35">
        <v>55.32</v>
      </c>
      <c r="F54" s="38">
        <v>1182</v>
      </c>
      <c r="G54" s="4">
        <f t="shared" si="35"/>
        <v>65388.24</v>
      </c>
      <c r="H54" s="21" t="s">
        <v>133</v>
      </c>
      <c r="I54" s="15">
        <v>15</v>
      </c>
      <c r="J54" s="17">
        <v>2000</v>
      </c>
      <c r="K54" s="16">
        <f t="shared" si="1"/>
        <v>133.33333333333334</v>
      </c>
      <c r="L54" s="15">
        <v>15</v>
      </c>
      <c r="M54" s="17">
        <f t="shared" si="36"/>
        <v>1916.7567567567553</v>
      </c>
      <c r="N54" s="17">
        <f t="shared" si="3"/>
        <v>127.78378378378369</v>
      </c>
      <c r="O54" s="18">
        <f t="shared" si="4"/>
        <v>0</v>
      </c>
      <c r="P54" s="19">
        <f t="shared" si="5"/>
        <v>-5.5495495495496527</v>
      </c>
      <c r="Q54" s="20">
        <f t="shared" si="6"/>
        <v>0.95837837837837758</v>
      </c>
      <c r="R54" s="170"/>
      <c r="S54" s="27">
        <v>0.8125</v>
      </c>
      <c r="T54" s="27">
        <v>0.83819444444444446</v>
      </c>
      <c r="U54" s="4">
        <f t="shared" si="38"/>
        <v>4.9999999999999822</v>
      </c>
      <c r="V54" s="21">
        <f t="shared" si="37"/>
        <v>37.000000000000028</v>
      </c>
      <c r="W54" s="22"/>
      <c r="X54" s="22"/>
      <c r="Y54" s="25"/>
      <c r="Z54" s="25"/>
      <c r="AA54" s="176"/>
      <c r="AB54" s="177"/>
      <c r="AC54" s="24"/>
      <c r="AD54" s="24"/>
      <c r="AE54" s="18">
        <f t="shared" si="8"/>
        <v>-83.243243243244706</v>
      </c>
      <c r="AF54" s="20">
        <f t="shared" si="9"/>
        <v>0.95837837837837769</v>
      </c>
      <c r="AG54" s="170"/>
    </row>
    <row r="55" spans="1:33">
      <c r="A55" s="179" t="s">
        <v>601</v>
      </c>
      <c r="B55" s="35" t="s">
        <v>595</v>
      </c>
      <c r="C55" s="171"/>
      <c r="D55" s="171"/>
      <c r="E55" s="36"/>
      <c r="F55" s="16"/>
      <c r="G55" s="16"/>
      <c r="H55" s="4"/>
      <c r="I55" s="29">
        <v>18.875</v>
      </c>
      <c r="J55" s="17">
        <v>1937.5</v>
      </c>
      <c r="K55" s="16">
        <f t="shared" si="1"/>
        <v>102.64900662251655</v>
      </c>
      <c r="L55" s="29">
        <v>18.875</v>
      </c>
      <c r="M55" s="17">
        <f>AVERAGE(M47:M54)</f>
        <v>1841.1979785884262</v>
      </c>
      <c r="N55" s="16">
        <f t="shared" si="3"/>
        <v>97.546912772896746</v>
      </c>
      <c r="O55" s="18">
        <f t="shared" si="4"/>
        <v>0</v>
      </c>
      <c r="P55" s="19">
        <f t="shared" si="5"/>
        <v>-5.1020938496198056</v>
      </c>
      <c r="Q55" s="20">
        <f t="shared" si="6"/>
        <v>0.95029573088434904</v>
      </c>
      <c r="R55" s="170"/>
      <c r="S55" s="27"/>
      <c r="T55" s="27"/>
      <c r="U55" s="4"/>
      <c r="V55" s="21"/>
      <c r="W55" s="16"/>
      <c r="X55" s="16"/>
      <c r="Y55" s="30">
        <f>SUM(Y47:Y54)</f>
        <v>0</v>
      </c>
      <c r="Z55" s="30">
        <f>SUM(Z47:Z54)</f>
        <v>0</v>
      </c>
      <c r="AA55" s="166"/>
      <c r="AB55" s="166"/>
      <c r="AC55" s="30">
        <f>SUM(AC47:AC54)</f>
        <v>8</v>
      </c>
      <c r="AD55" s="30">
        <f>SUM(AD47:AD54)</f>
        <v>0</v>
      </c>
      <c r="AE55" s="18">
        <f>M55-J55</f>
        <v>-96.302021411573833</v>
      </c>
      <c r="AF55" s="20">
        <f t="shared" si="9"/>
        <v>0.95029573088434904</v>
      </c>
      <c r="AG55" s="170"/>
    </row>
    <row r="56" spans="1:33" ht="15.75" customHeight="1">
      <c r="A56" s="172" t="s">
        <v>602</v>
      </c>
      <c r="B56" s="4" t="s">
        <v>84</v>
      </c>
      <c r="C56" s="163" t="s">
        <v>122</v>
      </c>
      <c r="D56" s="163"/>
      <c r="E56" s="35">
        <v>26.97</v>
      </c>
      <c r="F56" s="38">
        <v>2318</v>
      </c>
      <c r="G56" s="4">
        <f t="shared" ref="G56:G60" si="39">E56*F56</f>
        <v>62516.46</v>
      </c>
      <c r="H56" s="21" t="s">
        <v>133</v>
      </c>
      <c r="I56" s="15">
        <v>8</v>
      </c>
      <c r="J56" s="17">
        <v>1500</v>
      </c>
      <c r="K56" s="16">
        <f t="shared" si="1"/>
        <v>187.5</v>
      </c>
      <c r="L56" s="15">
        <v>8</v>
      </c>
      <c r="M56" s="17">
        <f t="shared" ref="M56:M60" si="40">F56/V56*60</f>
        <v>1433.8144329896904</v>
      </c>
      <c r="N56" s="16">
        <f t="shared" si="3"/>
        <v>179.2268041237113</v>
      </c>
      <c r="O56" s="18">
        <f t="shared" si="4"/>
        <v>0</v>
      </c>
      <c r="P56" s="19">
        <f t="shared" si="5"/>
        <v>-8.2731958762886961</v>
      </c>
      <c r="Q56" s="20">
        <f t="shared" si="6"/>
        <v>0.95587628865979357</v>
      </c>
      <c r="R56" s="170">
        <f>Q61</f>
        <v>0.96138001594140299</v>
      </c>
      <c r="S56" s="27">
        <v>0.20833333333333334</v>
      </c>
      <c r="T56" s="27">
        <v>0.27569444444444446</v>
      </c>
      <c r="U56" s="4"/>
      <c r="V56" s="21">
        <f t="shared" ref="V56:V60" si="41">(T56-S56)*24*60</f>
        <v>97.000000000000014</v>
      </c>
      <c r="W56" s="27"/>
      <c r="X56" s="27"/>
      <c r="Y56" s="27"/>
      <c r="Z56" s="27"/>
      <c r="AA56" s="162"/>
      <c r="AB56" s="162"/>
      <c r="AC56" s="24">
        <v>5</v>
      </c>
      <c r="AD56" s="24"/>
      <c r="AE56" s="18">
        <f t="shared" ref="AE56:AE67" si="42">M56-J56</f>
        <v>-66.185567010309569</v>
      </c>
      <c r="AF56" s="20">
        <f t="shared" si="9"/>
        <v>0.95587628865979357</v>
      </c>
      <c r="AG56" s="170">
        <f>AF61</f>
        <v>0.96138001594140299</v>
      </c>
    </row>
    <row r="57" spans="1:33" ht="15.75" customHeight="1">
      <c r="A57" s="172" t="s">
        <v>602</v>
      </c>
      <c r="B57" s="4" t="s">
        <v>84</v>
      </c>
      <c r="C57" s="163" t="s">
        <v>123</v>
      </c>
      <c r="D57" s="163"/>
      <c r="E57" s="35">
        <v>27.4</v>
      </c>
      <c r="F57" s="38">
        <v>671</v>
      </c>
      <c r="G57" s="4">
        <f t="shared" si="39"/>
        <v>18385.399999999998</v>
      </c>
      <c r="H57" s="21" t="s">
        <v>133</v>
      </c>
      <c r="I57" s="15">
        <v>10</v>
      </c>
      <c r="J57" s="17">
        <v>1500</v>
      </c>
      <c r="K57" s="16">
        <f t="shared" si="1"/>
        <v>150</v>
      </c>
      <c r="L57" s="15">
        <v>10</v>
      </c>
      <c r="M57" s="17">
        <f t="shared" si="40"/>
        <v>1437.857142857144</v>
      </c>
      <c r="N57" s="16">
        <f t="shared" si="3"/>
        <v>143.78571428571439</v>
      </c>
      <c r="O57" s="18">
        <f t="shared" si="4"/>
        <v>0</v>
      </c>
      <c r="P57" s="19">
        <f t="shared" si="5"/>
        <v>-6.2142857142856087</v>
      </c>
      <c r="Q57" s="20">
        <f t="shared" si="6"/>
        <v>0.9585714285714293</v>
      </c>
      <c r="R57" s="170"/>
      <c r="S57" s="27">
        <v>0.27986111111111112</v>
      </c>
      <c r="T57" s="27">
        <v>0.29930555555555555</v>
      </c>
      <c r="U57" s="4">
        <f t="shared" ref="U57:U60" si="43">(S57-T56)*24*60</f>
        <v>5.9999999999999787</v>
      </c>
      <c r="V57" s="21">
        <f t="shared" si="41"/>
        <v>27.999999999999979</v>
      </c>
      <c r="W57" s="4"/>
      <c r="X57" s="4"/>
      <c r="Y57" s="4"/>
      <c r="Z57" s="4"/>
      <c r="AA57" s="162"/>
      <c r="AB57" s="162"/>
      <c r="AC57" s="24"/>
      <c r="AD57" s="24"/>
      <c r="AE57" s="18">
        <f t="shared" si="42"/>
        <v>-62.142857142855974</v>
      </c>
      <c r="AF57" s="20">
        <f t="shared" si="9"/>
        <v>0.9585714285714293</v>
      </c>
      <c r="AG57" s="170"/>
    </row>
    <row r="58" spans="1:33" ht="15.75" customHeight="1">
      <c r="A58" s="172" t="s">
        <v>602</v>
      </c>
      <c r="B58" s="4" t="s">
        <v>108</v>
      </c>
      <c r="C58" s="163" t="s">
        <v>125</v>
      </c>
      <c r="D58" s="163"/>
      <c r="E58" s="35">
        <v>37.85</v>
      </c>
      <c r="F58" s="38">
        <v>1762</v>
      </c>
      <c r="G58" s="4">
        <f t="shared" si="39"/>
        <v>66691.7</v>
      </c>
      <c r="H58" s="21" t="s">
        <v>133</v>
      </c>
      <c r="I58" s="15">
        <v>12</v>
      </c>
      <c r="J58" s="17">
        <v>2000</v>
      </c>
      <c r="K58" s="16">
        <f t="shared" si="1"/>
        <v>166.66666666666666</v>
      </c>
      <c r="L58" s="15">
        <v>12</v>
      </c>
      <c r="M58" s="17">
        <f t="shared" si="40"/>
        <v>1922.1818181818196</v>
      </c>
      <c r="N58" s="16">
        <f t="shared" si="3"/>
        <v>160.1818181818183</v>
      </c>
      <c r="O58" s="18">
        <f t="shared" si="4"/>
        <v>0</v>
      </c>
      <c r="P58" s="19">
        <f t="shared" si="5"/>
        <v>-6.4848484848483565</v>
      </c>
      <c r="Q58" s="20">
        <f t="shared" si="6"/>
        <v>0.96109090909090988</v>
      </c>
      <c r="R58" s="170"/>
      <c r="S58" s="27">
        <v>0.30486111111111108</v>
      </c>
      <c r="T58" s="27">
        <v>0.3430555555555555</v>
      </c>
      <c r="U58" s="4">
        <f t="shared" si="43"/>
        <v>7.9999999999999716</v>
      </c>
      <c r="V58" s="21">
        <f t="shared" si="41"/>
        <v>54.999999999999964</v>
      </c>
      <c r="W58" s="4"/>
      <c r="X58" s="4"/>
      <c r="Y58" s="4"/>
      <c r="Z58" s="4"/>
      <c r="AA58" s="162"/>
      <c r="AB58" s="162"/>
      <c r="AC58" s="24"/>
      <c r="AD58" s="24"/>
      <c r="AE58" s="18">
        <f t="shared" si="42"/>
        <v>-77.818181818180392</v>
      </c>
      <c r="AF58" s="20">
        <f t="shared" si="9"/>
        <v>0.96109090909090977</v>
      </c>
      <c r="AG58" s="170"/>
    </row>
    <row r="59" spans="1:33" ht="15.75" customHeight="1">
      <c r="A59" s="172" t="s">
        <v>602</v>
      </c>
      <c r="B59" s="4" t="s">
        <v>108</v>
      </c>
      <c r="C59" s="163" t="s">
        <v>126</v>
      </c>
      <c r="D59" s="163"/>
      <c r="E59" s="35">
        <v>34.36</v>
      </c>
      <c r="F59" s="38">
        <v>1797</v>
      </c>
      <c r="G59" s="4">
        <f t="shared" si="39"/>
        <v>61744.92</v>
      </c>
      <c r="H59" s="21" t="s">
        <v>133</v>
      </c>
      <c r="I59" s="15">
        <v>10</v>
      </c>
      <c r="J59" s="17">
        <v>3000</v>
      </c>
      <c r="K59" s="16">
        <f t="shared" si="1"/>
        <v>300</v>
      </c>
      <c r="L59" s="15">
        <v>10</v>
      </c>
      <c r="M59" s="17">
        <f t="shared" si="40"/>
        <v>2914.0540540540519</v>
      </c>
      <c r="N59" s="16">
        <f t="shared" si="3"/>
        <v>291.40540540540519</v>
      </c>
      <c r="O59" s="18">
        <f t="shared" si="4"/>
        <v>0</v>
      </c>
      <c r="P59" s="19">
        <f t="shared" si="5"/>
        <v>-8.5945945945948097</v>
      </c>
      <c r="Q59" s="20">
        <f t="shared" si="6"/>
        <v>0.97135135135135064</v>
      </c>
      <c r="R59" s="170"/>
      <c r="S59" s="27">
        <v>0.3479166666666666</v>
      </c>
      <c r="T59" s="27">
        <v>0.37361111111111106</v>
      </c>
      <c r="U59" s="4">
        <f t="shared" si="43"/>
        <v>6.9999999999999751</v>
      </c>
      <c r="V59" s="21">
        <f t="shared" si="41"/>
        <v>37.000000000000028</v>
      </c>
      <c r="W59" s="4"/>
      <c r="X59" s="4"/>
      <c r="Y59" s="4"/>
      <c r="Z59" s="4"/>
      <c r="AA59" s="162"/>
      <c r="AB59" s="162"/>
      <c r="AC59" s="24"/>
      <c r="AD59" s="24"/>
      <c r="AE59" s="18">
        <f t="shared" si="42"/>
        <v>-85.945945945948097</v>
      </c>
      <c r="AF59" s="20">
        <f t="shared" si="9"/>
        <v>0.97135135135135064</v>
      </c>
      <c r="AG59" s="170"/>
    </row>
    <row r="60" spans="1:33">
      <c r="A60" s="173" t="s">
        <v>602</v>
      </c>
      <c r="B60" s="4" t="s">
        <v>108</v>
      </c>
      <c r="C60" s="163" t="s">
        <v>127</v>
      </c>
      <c r="D60" s="163"/>
      <c r="E60" s="35">
        <v>35.119999999999997</v>
      </c>
      <c r="F60" s="38">
        <v>4731</v>
      </c>
      <c r="G60" s="4">
        <f t="shared" si="39"/>
        <v>166152.72</v>
      </c>
      <c r="H60" s="21" t="s">
        <v>133</v>
      </c>
      <c r="I60" s="15">
        <v>10</v>
      </c>
      <c r="J60" s="17">
        <v>3000</v>
      </c>
      <c r="K60" s="16">
        <f t="shared" si="1"/>
        <v>300</v>
      </c>
      <c r="L60" s="15">
        <v>10</v>
      </c>
      <c r="M60" s="17">
        <f t="shared" si="40"/>
        <v>2867.2727272727284</v>
      </c>
      <c r="N60" s="16">
        <f t="shared" si="3"/>
        <v>286.72727272727286</v>
      </c>
      <c r="O60" s="18">
        <f t="shared" si="4"/>
        <v>0</v>
      </c>
      <c r="P60" s="19">
        <f t="shared" si="5"/>
        <v>-13.272727272727138</v>
      </c>
      <c r="Q60" s="20">
        <f t="shared" si="6"/>
        <v>0.95575757575757625</v>
      </c>
      <c r="R60" s="170"/>
      <c r="S60" s="27">
        <v>0.37708333333333327</v>
      </c>
      <c r="T60" s="27">
        <v>0.44583333333333325</v>
      </c>
      <c r="U60" s="4">
        <f t="shared" si="43"/>
        <v>4.9999999999999822</v>
      </c>
      <c r="V60" s="21">
        <f t="shared" si="41"/>
        <v>98.999999999999972</v>
      </c>
      <c r="W60" s="22"/>
      <c r="X60" s="22"/>
      <c r="Y60" s="22"/>
      <c r="Z60" s="22"/>
      <c r="AA60" s="162"/>
      <c r="AB60" s="162"/>
      <c r="AC60" s="24"/>
      <c r="AD60" s="24"/>
      <c r="AE60" s="18">
        <f t="shared" si="42"/>
        <v>-132.72727272727161</v>
      </c>
      <c r="AF60" s="20">
        <f t="shared" si="9"/>
        <v>0.95575757575757614</v>
      </c>
      <c r="AG60" s="170"/>
    </row>
    <row r="61" spans="1:33">
      <c r="A61" s="173" t="s">
        <v>602</v>
      </c>
      <c r="B61" s="35" t="s">
        <v>595</v>
      </c>
      <c r="C61" s="171"/>
      <c r="D61" s="171"/>
      <c r="E61" s="36"/>
      <c r="F61" s="16"/>
      <c r="G61" s="16"/>
      <c r="H61" s="4"/>
      <c r="I61" s="29">
        <v>10</v>
      </c>
      <c r="J61" s="17">
        <v>2200</v>
      </c>
      <c r="K61" s="16">
        <f t="shared" si="1"/>
        <v>220</v>
      </c>
      <c r="L61" s="29">
        <v>10</v>
      </c>
      <c r="M61" s="17">
        <f>AVERAGE(M56:M60)</f>
        <v>2115.0360350710866</v>
      </c>
      <c r="N61" s="16">
        <f t="shared" si="3"/>
        <v>211.50360350710866</v>
      </c>
      <c r="O61" s="18">
        <f t="shared" si="4"/>
        <v>0</v>
      </c>
      <c r="P61" s="19">
        <f t="shared" si="5"/>
        <v>-8.4963964928913356</v>
      </c>
      <c r="Q61" s="20">
        <f t="shared" si="6"/>
        <v>0.96138001594140299</v>
      </c>
      <c r="R61" s="170"/>
      <c r="S61" s="27"/>
      <c r="T61" s="27"/>
      <c r="U61" s="16"/>
      <c r="V61" s="21"/>
      <c r="W61" s="16"/>
      <c r="X61" s="16"/>
      <c r="Y61" s="30">
        <f>SUM(Y56:Y60)</f>
        <v>0</v>
      </c>
      <c r="Z61" s="30">
        <f>SUM(Z56:Z60)</f>
        <v>0</v>
      </c>
      <c r="AA61" s="166"/>
      <c r="AB61" s="166"/>
      <c r="AC61" s="30">
        <f>SUM(AC56:AC60)</f>
        <v>5</v>
      </c>
      <c r="AD61" s="30">
        <f>SUM(AD56:AD60)</f>
        <v>0</v>
      </c>
      <c r="AE61" s="18">
        <f t="shared" si="42"/>
        <v>-84.963964928913356</v>
      </c>
      <c r="AF61" s="20">
        <f t="shared" si="9"/>
        <v>0.96138001594140299</v>
      </c>
      <c r="AG61" s="170"/>
    </row>
    <row r="62" spans="1:33" ht="15.75" customHeight="1">
      <c r="A62" s="167" t="s">
        <v>603</v>
      </c>
      <c r="B62" s="4" t="s">
        <v>97</v>
      </c>
      <c r="C62" s="163" t="s">
        <v>128</v>
      </c>
      <c r="D62" s="163"/>
      <c r="E62" s="35">
        <v>20.2</v>
      </c>
      <c r="F62" s="4">
        <v>2169</v>
      </c>
      <c r="G62" s="4">
        <f t="shared" ref="G62:G66" si="44">E62*F62</f>
        <v>43813.799999999996</v>
      </c>
      <c r="H62" s="21" t="s">
        <v>133</v>
      </c>
      <c r="I62" s="15">
        <v>15</v>
      </c>
      <c r="J62" s="17">
        <v>2400</v>
      </c>
      <c r="K62" s="16">
        <f t="shared" si="1"/>
        <v>160</v>
      </c>
      <c r="L62" s="15">
        <v>15</v>
      </c>
      <c r="M62" s="17">
        <f t="shared" ref="M62:M66" si="45">F62/V62*60</f>
        <v>2283.1578947368421</v>
      </c>
      <c r="N62" s="16">
        <f t="shared" si="3"/>
        <v>152.21052631578948</v>
      </c>
      <c r="O62" s="18">
        <f t="shared" si="4"/>
        <v>0</v>
      </c>
      <c r="P62" s="19">
        <f t="shared" si="5"/>
        <v>-7.7894736842105203</v>
      </c>
      <c r="Q62" s="20">
        <f t="shared" si="6"/>
        <v>0.95131578947368423</v>
      </c>
      <c r="R62" s="170">
        <f>Q67</f>
        <v>0.95653955398292534</v>
      </c>
      <c r="S62" s="27">
        <v>8.3333333333333329E-2</v>
      </c>
      <c r="T62" s="27">
        <v>0.12291666666666666</v>
      </c>
      <c r="U62" s="27"/>
      <c r="V62" s="21">
        <f t="shared" ref="V62:V66" si="46">(T62-S62)*24*60</f>
        <v>57</v>
      </c>
      <c r="W62" s="22">
        <f>T62</f>
        <v>0.12291666666666666</v>
      </c>
      <c r="X62" s="22">
        <f>S63</f>
        <v>0.14236111111111108</v>
      </c>
      <c r="Y62" s="22"/>
      <c r="Z62" s="22"/>
      <c r="AA62" s="162"/>
      <c r="AB62" s="162"/>
      <c r="AC62" s="24">
        <v>5</v>
      </c>
      <c r="AD62" s="24"/>
      <c r="AE62" s="18">
        <f t="shared" si="42"/>
        <v>-116.84210526315792</v>
      </c>
      <c r="AF62" s="20">
        <f t="shared" si="9"/>
        <v>0.95131578947368423</v>
      </c>
      <c r="AG62" s="170">
        <f>AF67</f>
        <v>0.95653955398292534</v>
      </c>
    </row>
    <row r="63" spans="1:33" ht="15.75" customHeight="1">
      <c r="A63" s="168" t="s">
        <v>603</v>
      </c>
      <c r="B63" s="4" t="s">
        <v>97</v>
      </c>
      <c r="C63" s="163" t="s">
        <v>129</v>
      </c>
      <c r="D63" s="163"/>
      <c r="E63" s="35">
        <v>24.45</v>
      </c>
      <c r="F63" s="4">
        <v>2506</v>
      </c>
      <c r="G63" s="4">
        <f t="shared" si="44"/>
        <v>61271.7</v>
      </c>
      <c r="H63" s="21" t="s">
        <v>133</v>
      </c>
      <c r="I63" s="15">
        <v>19</v>
      </c>
      <c r="J63" s="17">
        <v>2400</v>
      </c>
      <c r="K63" s="16">
        <f t="shared" si="1"/>
        <v>126.31578947368421</v>
      </c>
      <c r="L63" s="15">
        <v>19</v>
      </c>
      <c r="M63" s="17">
        <f t="shared" si="45"/>
        <v>2313.2307692307686</v>
      </c>
      <c r="N63" s="16">
        <f t="shared" si="3"/>
        <v>121.74898785425098</v>
      </c>
      <c r="O63" s="18">
        <f t="shared" si="4"/>
        <v>0</v>
      </c>
      <c r="P63" s="19">
        <f t="shared" si="5"/>
        <v>-4.566801619433221</v>
      </c>
      <c r="Q63" s="20">
        <f t="shared" si="6"/>
        <v>0.96384615384615369</v>
      </c>
      <c r="R63" s="170"/>
      <c r="S63" s="27">
        <v>0.14236111111111108</v>
      </c>
      <c r="T63" s="27">
        <v>0.18749999999999997</v>
      </c>
      <c r="U63" s="4">
        <f t="shared" ref="U63:U66" si="47">(S63-T62)*24*60</f>
        <v>27.999999999999961</v>
      </c>
      <c r="V63" s="21">
        <f t="shared" si="46"/>
        <v>65.000000000000014</v>
      </c>
      <c r="W63" s="22"/>
      <c r="X63" s="22"/>
      <c r="Y63" s="22"/>
      <c r="Z63" s="22"/>
      <c r="AA63" s="162"/>
      <c r="AB63" s="162"/>
      <c r="AC63" s="24"/>
      <c r="AD63" s="24"/>
      <c r="AE63" s="18">
        <f t="shared" si="42"/>
        <v>-86.769230769231399</v>
      </c>
      <c r="AF63" s="20">
        <f t="shared" si="9"/>
        <v>0.96384615384615357</v>
      </c>
      <c r="AG63" s="170"/>
    </row>
    <row r="64" spans="1:33" ht="15.75" customHeight="1">
      <c r="A64" s="168" t="s">
        <v>603</v>
      </c>
      <c r="B64" s="4" t="s">
        <v>97</v>
      </c>
      <c r="C64" s="163" t="s">
        <v>130</v>
      </c>
      <c r="D64" s="163"/>
      <c r="E64" s="35">
        <v>24.43</v>
      </c>
      <c r="F64" s="4">
        <v>6421</v>
      </c>
      <c r="G64" s="4">
        <f t="shared" si="44"/>
        <v>156865.03</v>
      </c>
      <c r="H64" s="21" t="s">
        <v>133</v>
      </c>
      <c r="I64" s="15">
        <v>14</v>
      </c>
      <c r="J64" s="17">
        <v>2400</v>
      </c>
      <c r="K64" s="16">
        <f t="shared" si="1"/>
        <v>171.42857142857142</v>
      </c>
      <c r="L64" s="15">
        <v>14</v>
      </c>
      <c r="M64" s="17">
        <f t="shared" si="45"/>
        <v>2293.2142857142862</v>
      </c>
      <c r="N64" s="16">
        <f t="shared" si="3"/>
        <v>163.80102040816331</v>
      </c>
      <c r="O64" s="18">
        <f t="shared" si="4"/>
        <v>0</v>
      </c>
      <c r="P64" s="19">
        <f t="shared" si="5"/>
        <v>-7.6275510204081058</v>
      </c>
      <c r="Q64" s="20">
        <f t="shared" si="6"/>
        <v>0.95550595238095271</v>
      </c>
      <c r="R64" s="170"/>
      <c r="S64" s="27">
        <v>0.19166666666666665</v>
      </c>
      <c r="T64" s="27">
        <v>0.30833333333333329</v>
      </c>
      <c r="U64" s="4">
        <f t="shared" si="47"/>
        <v>6.0000000000000187</v>
      </c>
      <c r="V64" s="21">
        <f t="shared" si="46"/>
        <v>167.99999999999997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2"/>
        <v>-106.78571428571377</v>
      </c>
      <c r="AF64" s="20">
        <f t="shared" si="9"/>
        <v>0.95550595238095259</v>
      </c>
      <c r="AG64" s="170"/>
    </row>
    <row r="65" spans="1:33" ht="15.75" customHeight="1">
      <c r="A65" s="168" t="s">
        <v>603</v>
      </c>
      <c r="B65" s="4" t="s">
        <v>97</v>
      </c>
      <c r="C65" s="163" t="s">
        <v>132</v>
      </c>
      <c r="D65" s="163"/>
      <c r="E65" s="35">
        <v>19.02</v>
      </c>
      <c r="F65" s="4">
        <v>8093</v>
      </c>
      <c r="G65" s="4">
        <f t="shared" si="44"/>
        <v>153928.85999999999</v>
      </c>
      <c r="H65" s="21" t="s">
        <v>133</v>
      </c>
      <c r="I65" s="15">
        <v>14</v>
      </c>
      <c r="J65" s="17">
        <v>2400</v>
      </c>
      <c r="K65" s="16">
        <f t="shared" si="1"/>
        <v>171.42857142857142</v>
      </c>
      <c r="L65" s="15">
        <v>14</v>
      </c>
      <c r="M65" s="17">
        <f t="shared" si="45"/>
        <v>2290.4716981132078</v>
      </c>
      <c r="N65" s="16">
        <f t="shared" si="3"/>
        <v>163.60512129380055</v>
      </c>
      <c r="O65" s="18">
        <f t="shared" si="4"/>
        <v>0</v>
      </c>
      <c r="P65" s="19">
        <f t="shared" si="5"/>
        <v>-7.8234501347708658</v>
      </c>
      <c r="Q65" s="20">
        <f t="shared" si="6"/>
        <v>0.95436320754716997</v>
      </c>
      <c r="R65" s="170"/>
      <c r="S65" s="27">
        <v>0.3118055555555555</v>
      </c>
      <c r="T65" s="27">
        <v>0.4590277777777777</v>
      </c>
      <c r="U65" s="4">
        <f t="shared" si="47"/>
        <v>4.9999999999999822</v>
      </c>
      <c r="V65" s="21">
        <f t="shared" si="46"/>
        <v>211.99999999999997</v>
      </c>
      <c r="W65" s="22">
        <f>T65</f>
        <v>0.4590277777777777</v>
      </c>
      <c r="X65" s="22">
        <f>S66</f>
        <v>0.49930555555555545</v>
      </c>
      <c r="Y65" s="22"/>
      <c r="Z65" s="22"/>
      <c r="AA65" s="162"/>
      <c r="AB65" s="162"/>
      <c r="AC65" s="24"/>
      <c r="AD65" s="24"/>
      <c r="AE65" s="18">
        <f t="shared" si="42"/>
        <v>-109.52830188679218</v>
      </c>
      <c r="AF65" s="20">
        <f t="shared" si="9"/>
        <v>0.95436320754716997</v>
      </c>
      <c r="AG65" s="170"/>
    </row>
    <row r="66" spans="1:33" ht="15.75" customHeight="1">
      <c r="A66" s="168" t="s">
        <v>603</v>
      </c>
      <c r="B66" s="4" t="s">
        <v>97</v>
      </c>
      <c r="C66" s="163" t="s">
        <v>98</v>
      </c>
      <c r="D66" s="163"/>
      <c r="E66" s="35">
        <v>31.29</v>
      </c>
      <c r="F66" s="4">
        <v>2873</v>
      </c>
      <c r="G66" s="4">
        <f t="shared" si="44"/>
        <v>89896.17</v>
      </c>
      <c r="H66" s="21" t="s">
        <v>133</v>
      </c>
      <c r="I66" s="15">
        <v>18</v>
      </c>
      <c r="J66" s="17">
        <v>2400</v>
      </c>
      <c r="K66" s="16">
        <f t="shared" si="1"/>
        <v>133.33333333333334</v>
      </c>
      <c r="L66" s="15">
        <v>18</v>
      </c>
      <c r="M66" s="17">
        <f t="shared" si="45"/>
        <v>2298.3999999999983</v>
      </c>
      <c r="N66" s="16">
        <f t="shared" si="3"/>
        <v>127.6888888888888</v>
      </c>
      <c r="O66" s="18">
        <f t="shared" si="4"/>
        <v>0</v>
      </c>
      <c r="P66" s="19">
        <f t="shared" si="5"/>
        <v>-5.6444444444445452</v>
      </c>
      <c r="Q66" s="20">
        <f t="shared" si="6"/>
        <v>0.95766666666666589</v>
      </c>
      <c r="R66" s="170"/>
      <c r="S66" s="27">
        <v>0.49930555555555545</v>
      </c>
      <c r="T66" s="27">
        <v>0.55138888888888882</v>
      </c>
      <c r="U66" s="4">
        <f t="shared" si="47"/>
        <v>57.999999999999957</v>
      </c>
      <c r="V66" s="21">
        <f t="shared" si="46"/>
        <v>75.000000000000057</v>
      </c>
      <c r="W66" s="22"/>
      <c r="X66" s="22"/>
      <c r="Y66" s="22"/>
      <c r="Z66" s="22"/>
      <c r="AA66" s="162"/>
      <c r="AB66" s="162"/>
      <c r="AC66" s="24"/>
      <c r="AD66" s="24"/>
      <c r="AE66" s="18">
        <f t="shared" si="42"/>
        <v>-101.60000000000173</v>
      </c>
      <c r="AF66" s="20">
        <f t="shared" si="9"/>
        <v>0.957666666666666</v>
      </c>
      <c r="AG66" s="170"/>
    </row>
    <row r="67" spans="1:33" ht="16.5" customHeight="1">
      <c r="A67" s="169" t="s">
        <v>603</v>
      </c>
      <c r="B67" s="35" t="s">
        <v>595</v>
      </c>
      <c r="C67" s="164"/>
      <c r="D67" s="165"/>
      <c r="E67" s="36"/>
      <c r="F67" s="16"/>
      <c r="G67" s="16"/>
      <c r="H67" s="4"/>
      <c r="I67" s="29">
        <v>16</v>
      </c>
      <c r="J67" s="17">
        <v>2400</v>
      </c>
      <c r="K67" s="16">
        <f t="shared" si="1"/>
        <v>150</v>
      </c>
      <c r="L67" s="29">
        <v>16</v>
      </c>
      <c r="M67" s="17">
        <f>AVERAGE(M62:M66)</f>
        <v>2295.6949295590207</v>
      </c>
      <c r="N67" s="16">
        <f t="shared" si="3"/>
        <v>143.48093309743879</v>
      </c>
      <c r="O67" s="18">
        <f t="shared" si="4"/>
        <v>0</v>
      </c>
      <c r="P67" s="19">
        <f t="shared" si="5"/>
        <v>-6.5190669025612067</v>
      </c>
      <c r="Q67" s="20">
        <f t="shared" si="6"/>
        <v>0.95653955398292534</v>
      </c>
      <c r="R67" s="170"/>
      <c r="S67" s="27"/>
      <c r="T67" s="27"/>
      <c r="U67" s="16"/>
      <c r="V67" s="21"/>
      <c r="W67" s="16"/>
      <c r="X67" s="16"/>
      <c r="Y67" s="30">
        <f>SUM(Y62:Y66)</f>
        <v>0</v>
      </c>
      <c r="Z67" s="30">
        <f>SUM(Z62:Z66)</f>
        <v>0</v>
      </c>
      <c r="AA67" s="166"/>
      <c r="AB67" s="166"/>
      <c r="AC67" s="30">
        <f>SUM(AC62:AC66)</f>
        <v>5</v>
      </c>
      <c r="AD67" s="30">
        <f>SUM(AD62:AD66)</f>
        <v>0</v>
      </c>
      <c r="AE67" s="18">
        <f t="shared" si="42"/>
        <v>-104.30507044097931</v>
      </c>
      <c r="AF67" s="20">
        <f t="shared" si="9"/>
        <v>0.95653955398292534</v>
      </c>
      <c r="AG67" s="170"/>
    </row>
    <row r="68" spans="1:33">
      <c r="D68" s="41"/>
      <c r="E68" s="41"/>
    </row>
  </sheetData>
  <mergeCells count="18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H3:H4"/>
    <mergeCell ref="I3:I4"/>
    <mergeCell ref="AC3:AD3"/>
    <mergeCell ref="C8:D8"/>
    <mergeCell ref="AA8:AB8"/>
    <mergeCell ref="C9:D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G14:AG18"/>
    <mergeCell ref="C18:D18"/>
    <mergeCell ref="AA18:AB18"/>
    <mergeCell ref="A11:A13"/>
    <mergeCell ref="C11:D11"/>
    <mergeCell ref="R11:R13"/>
    <mergeCell ref="AA11:AB11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G5:AG10"/>
    <mergeCell ref="C6:D6"/>
    <mergeCell ref="AA6:AB6"/>
    <mergeCell ref="C10:D10"/>
    <mergeCell ref="AA10:AB10"/>
    <mergeCell ref="C7:D7"/>
    <mergeCell ref="AA7:AB7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14:A18"/>
    <mergeCell ref="C14:D14"/>
    <mergeCell ref="R14:R18"/>
    <mergeCell ref="AA14:AB14"/>
    <mergeCell ref="AG25:AG32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25:A32"/>
    <mergeCell ref="C25:D25"/>
    <mergeCell ref="R25:R32"/>
    <mergeCell ref="AA25:AB25"/>
    <mergeCell ref="C32:D32"/>
    <mergeCell ref="AA32:AB32"/>
    <mergeCell ref="A33:A39"/>
    <mergeCell ref="C33:D33"/>
    <mergeCell ref="R33:R39"/>
    <mergeCell ref="AA33:AB33"/>
    <mergeCell ref="AA38:AB38"/>
    <mergeCell ref="C39:D39"/>
    <mergeCell ref="AA39:AB39"/>
    <mergeCell ref="AG33:AG39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40:A46"/>
    <mergeCell ref="C40:D40"/>
    <mergeCell ref="R40:R46"/>
    <mergeCell ref="AA40:AB40"/>
    <mergeCell ref="AG40:AG46"/>
    <mergeCell ref="C41:D41"/>
    <mergeCell ref="AA41:AB41"/>
    <mergeCell ref="C42:D42"/>
    <mergeCell ref="AA42:AB42"/>
    <mergeCell ref="C43:D43"/>
    <mergeCell ref="AG47:AG55"/>
    <mergeCell ref="C48:D48"/>
    <mergeCell ref="AA48:AB48"/>
    <mergeCell ref="C49:D49"/>
    <mergeCell ref="AA49:AB49"/>
    <mergeCell ref="AA50:AB50"/>
    <mergeCell ref="AA43:AB43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56:A61"/>
    <mergeCell ref="C56:D56"/>
    <mergeCell ref="R56:R61"/>
    <mergeCell ref="AA56:AB56"/>
    <mergeCell ref="AA61:AB61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62:A67"/>
    <mergeCell ref="C62:D62"/>
    <mergeCell ref="R62:R67"/>
    <mergeCell ref="AA62:AB62"/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67:AB67"/>
  </mergeCells>
  <phoneticPr fontId="3" type="noConversion"/>
  <conditionalFormatting sqref="O5:O67">
    <cfRule type="cellIs" dxfId="46" priority="9" operator="greaterThan">
      <formula>0</formula>
    </cfRule>
  </conditionalFormatting>
  <conditionalFormatting sqref="P5:P67">
    <cfRule type="cellIs" dxfId="45" priority="1" operator="lessThan">
      <formula>0</formula>
    </cfRule>
  </conditionalFormatting>
  <conditionalFormatting sqref="Q5:Q67 AF5:AF67">
    <cfRule type="cellIs" dxfId="44" priority="10" operator="greaterThan">
      <formula>1</formula>
    </cfRule>
    <cfRule type="cellIs" dxfId="43" priority="11" operator="lessThan">
      <formula>0.8</formula>
    </cfRule>
  </conditionalFormatting>
  <conditionalFormatting sqref="R5:R11 AG5:AG11">
    <cfRule type="cellIs" dxfId="42" priority="47" operator="lessThan">
      <formula>0.8</formula>
    </cfRule>
  </conditionalFormatting>
  <conditionalFormatting sqref="AE5:AE67">
    <cfRule type="cellIs" dxfId="41" priority="12" operator="lessThan">
      <formula>0</formula>
    </cfRule>
  </conditionalFormatting>
  <conditionalFormatting sqref="AG14:AG59 R14:R67">
    <cfRule type="cellIs" dxfId="40" priority="13" operator="lessThan">
      <formula>0.8</formula>
    </cfRule>
  </conditionalFormatting>
  <dataValidations count="1">
    <dataValidation type="list" allowBlank="1" showInputMessage="1" showErrorMessage="1" sqref="AB10 AA5:AB9 AB60 AA10:AA60 AB12:AB56 AA61:AB67" xr:uid="{00000000-0002-0000-3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Q32"/>
  <sheetViews>
    <sheetView zoomScale="85" zoomScaleNormal="85" workbookViewId="0">
      <selection activeCell="E13" sqref="E13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406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407</v>
      </c>
      <c r="C3" s="151" t="str">
        <f>TEXT('0304 4度C'!A2,"yyyy.mm.ddaaaa")</f>
        <v>2026.03.04星期三</v>
      </c>
      <c r="D3" s="152"/>
      <c r="E3" s="45" t="s">
        <v>408</v>
      </c>
      <c r="F3" s="153">
        <f>'0304 4度C'!D1</f>
        <v>156739</v>
      </c>
      <c r="G3" s="154"/>
      <c r="H3" s="45" t="s">
        <v>409</v>
      </c>
      <c r="I3" s="155">
        <f>'0304 4度C'!F1</f>
        <v>5142445.4500000011</v>
      </c>
      <c r="J3" s="156"/>
      <c r="K3" s="46"/>
      <c r="L3" s="47"/>
      <c r="M3" s="47"/>
      <c r="N3" s="47"/>
    </row>
    <row r="4" spans="2:17" ht="28.5" customHeight="1">
      <c r="B4" s="157" t="s">
        <v>410</v>
      </c>
      <c r="C4" s="143" t="s">
        <v>411</v>
      </c>
      <c r="D4" s="144"/>
      <c r="E4" s="160" t="s">
        <v>412</v>
      </c>
      <c r="F4" s="161"/>
      <c r="G4" s="160" t="s">
        <v>413</v>
      </c>
      <c r="H4" s="161"/>
      <c r="I4" s="160" t="s">
        <v>414</v>
      </c>
      <c r="J4" s="161"/>
      <c r="K4" s="141" t="s">
        <v>415</v>
      </c>
      <c r="L4" s="142"/>
      <c r="M4" s="142" t="s">
        <v>416</v>
      </c>
      <c r="N4" s="142"/>
    </row>
    <row r="5" spans="2:17" ht="28.5" customHeight="1">
      <c r="B5" s="158"/>
      <c r="C5" s="143" t="s">
        <v>417</v>
      </c>
      <c r="D5" s="144"/>
      <c r="E5" s="143" t="s">
        <v>418</v>
      </c>
      <c r="F5" s="144"/>
      <c r="G5" s="145" t="s">
        <v>419</v>
      </c>
      <c r="H5" s="146"/>
      <c r="I5" s="147" t="s">
        <v>420</v>
      </c>
      <c r="J5" s="148"/>
      <c r="K5" s="48" t="s">
        <v>421</v>
      </c>
      <c r="L5" s="49" t="s">
        <v>422</v>
      </c>
      <c r="M5" s="48" t="s">
        <v>421</v>
      </c>
      <c r="N5" s="49" t="s">
        <v>423</v>
      </c>
    </row>
    <row r="6" spans="2:17" ht="28.5" customHeight="1">
      <c r="B6" s="158"/>
      <c r="C6" s="143" t="s">
        <v>153</v>
      </c>
      <c r="D6" s="144"/>
      <c r="E6" s="135">
        <f>AVERAGE(D13:M13)</f>
        <v>148.81930885406217</v>
      </c>
      <c r="F6" s="136">
        <f>AVERAGE(D31:O31,D13:J13)</f>
        <v>152.43809268101157</v>
      </c>
      <c r="G6" s="137">
        <f>AVERAGE(D13:J13)</f>
        <v>152.43809268101157</v>
      </c>
      <c r="H6" s="138"/>
      <c r="I6" s="137">
        <f>AVERAGE(K13:M13)</f>
        <v>140.37547992451357</v>
      </c>
      <c r="J6" s="138"/>
      <c r="K6" s="139">
        <f>'0304 4度C'!Y2</f>
        <v>0</v>
      </c>
      <c r="L6" s="124">
        <f>'0304 4度C'!Z2</f>
        <v>0</v>
      </c>
      <c r="M6" s="140">
        <f>'0304 4度C'!AC2</f>
        <v>57</v>
      </c>
      <c r="N6" s="124">
        <f>'0304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142.58455095484317</v>
      </c>
      <c r="F7" s="128">
        <f>AVERAGE(D32:O32,D14:J14)</f>
        <v>146.05673262154912</v>
      </c>
      <c r="G7" s="129">
        <f>AVERAGE(D14:J14)</f>
        <v>146.05673262154912</v>
      </c>
      <c r="H7" s="130"/>
      <c r="I7" s="129">
        <f>AVERAGE(K14:M14)</f>
        <v>134.48279373252933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0.95831885370818082</v>
      </c>
      <c r="F8" s="132">
        <f>AVERAGE(D15:J15,D33:O33)</f>
        <v>0.95843780148346969</v>
      </c>
      <c r="G8" s="133">
        <f>AVERAGE(D15:J15)</f>
        <v>0.95843780148346969</v>
      </c>
      <c r="H8" s="134"/>
      <c r="I8" s="133">
        <f>AVERAGE(K15:M15)</f>
        <v>0.95804130889917305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424</v>
      </c>
      <c r="N9" s="47"/>
      <c r="O9" s="47"/>
      <c r="P9" s="47"/>
      <c r="Q9" s="47"/>
    </row>
    <row r="10" spans="2:17" ht="30" customHeight="1">
      <c r="B10" s="107" t="s">
        <v>425</v>
      </c>
      <c r="C10" s="108"/>
      <c r="D10" s="109" t="s">
        <v>426</v>
      </c>
      <c r="E10" s="110"/>
      <c r="F10" s="110"/>
      <c r="G10" s="110"/>
      <c r="H10" s="110"/>
      <c r="I10" s="110"/>
      <c r="J10" s="111"/>
      <c r="K10" s="112" t="s">
        <v>427</v>
      </c>
      <c r="L10" s="113"/>
      <c r="M10" s="114"/>
      <c r="P10" s="53"/>
      <c r="Q10" s="53"/>
    </row>
    <row r="11" spans="2:17" ht="17.25" customHeight="1">
      <c r="B11" s="115" t="s">
        <v>428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429</v>
      </c>
      <c r="C13" s="60" t="s">
        <v>430</v>
      </c>
      <c r="D13" s="61">
        <f>SUMIFS('0304 4度C'!$K:$K,'0304 4度C'!$A:$A,"新豐6線",'0304 4度C'!$B:$B,"平均")</f>
        <v>112.35955056179775</v>
      </c>
      <c r="E13" s="62">
        <f>SUMIFS('0304 4度C'!$K:$K,'0304 4度C'!$A:$A,"新豐2線",'0304 4度C'!$B:$B,"平均")</f>
        <v>83.333333333333329</v>
      </c>
      <c r="F13" s="63">
        <f>SUMIFS('0304 4度C'!$K:$K,'0304 4度C'!$A:$A,"新豐5線",'0304 4度C'!$B:$B,"平均")</f>
        <v>109.19540229885058</v>
      </c>
      <c r="G13" s="63">
        <f>SUMIFS('0304 4度C'!$K:$K,'0304 4度C'!$A:$A,"新豐7線",'0304 4度C'!$B:$B,"平均")</f>
        <v>122.22222222222221</v>
      </c>
      <c r="H13" s="63">
        <f>SUMIFS('0304 4度C'!$K:$K,'0304 4度C'!$A:$A,"新豐3線",'0304 4度C'!$B:$B,"平均")</f>
        <v>315.78947368421052</v>
      </c>
      <c r="I13" s="63">
        <f>SUMIFS('0304 4度C'!$K:$K,'0304 4度C'!$A:$A,"新豐1線",'0304 4度C'!$B:$B,"平均")</f>
        <v>104.16666666666666</v>
      </c>
      <c r="J13" s="64">
        <f>SUMIFS('0304 4度C'!$K:$K,'0304 4度C'!$A:$A,"新豐10線",'0304 4度C'!$B:$B,"平均")</f>
        <v>220</v>
      </c>
      <c r="K13" s="65">
        <f>SUMIFS('0304 4度C'!$K:$K,'0304 4度C'!$A:$A,"新豐8線",'0304 4度C'!$B:$B,"平均")</f>
        <v>132.28346456692913</v>
      </c>
      <c r="L13" s="66">
        <f>SUMIFS('0304 4度C'!$K:$K,'0304 4度C'!$A:$A,"新豐9線",'0304 4度C'!$B:$B,"平均")</f>
        <v>138.84297520661158</v>
      </c>
      <c r="M13" s="64">
        <f>SUMIFS('0304 4度C'!$K:$K,'0304 4度C'!$A:$A,"新豐4線",'0304 4度C'!$B:$B,"平均")</f>
        <v>150</v>
      </c>
    </row>
    <row r="14" spans="2:17" ht="39.6" customHeight="1">
      <c r="B14" s="120"/>
      <c r="C14" s="67" t="s">
        <v>431</v>
      </c>
      <c r="D14" s="68">
        <f>SUMIFS('0304 4度C'!$N:$N,'0304 4度C'!$A:$A,"新豐6線",'0304 4度C'!$B:$B,"平均")</f>
        <v>108.2652769564361</v>
      </c>
      <c r="E14" s="69">
        <f>SUMIFS('0304 4度C'!$N:$N,'0304 4度C'!$A:$A,"新豐2線",'0304 4度C'!$B:$B,"平均")</f>
        <v>79.450448904900824</v>
      </c>
      <c r="F14" s="69">
        <f>SUMIFS('0304 4度C'!$N:$N,'0304 4度C'!$A:$A,"新豐5線",'0304 4度C'!$B:$B,"平均")</f>
        <v>105.24905840797764</v>
      </c>
      <c r="G14" s="69">
        <f>SUMIFS('0304 4度C'!$N:$N,'0304 4度C'!$A:$A,"新豐7線",'0304 4度C'!$B:$B,"平均")</f>
        <v>117.52796028261146</v>
      </c>
      <c r="H14" s="69">
        <f>SUMIFS('0304 4度C'!$N:$N,'0304 4度C'!$A:$A,"新豐3線",'0304 4度C'!$B:$B,"平均")</f>
        <v>302.01702769871406</v>
      </c>
      <c r="I14" s="69">
        <f>SUMIFS('0304 4度C'!$N:$N,'0304 4度C'!$A:$A,"新豐1線",'0304 4度C'!$B:$B,"平均")</f>
        <v>99.253220099928143</v>
      </c>
      <c r="J14" s="70">
        <f>SUMIFS('0304 4度C'!$N:$N,'0304 4度C'!$A:$A,"新豐10線",'0304 4度C'!$B:$B,"平均")</f>
        <v>210.63413600027565</v>
      </c>
      <c r="K14" s="71">
        <f>SUMIFS('0304 4度C'!$N:$N,'0304 4度C'!$A:$A,"新豐8線",'0304 4度C'!$B:$B,"平均")</f>
        <v>126.81381208829123</v>
      </c>
      <c r="L14" s="72">
        <f>SUMIFS('0304 4度C'!$N:$N,'0304 4度C'!$A:$A,"新豐9線",'0304 4度C'!$B:$B,"平均")</f>
        <v>132.98401034045628</v>
      </c>
      <c r="M14" s="70">
        <f>SUMIFS('0304 4度C'!$N:$N,'0304 4度C'!$A:$A,"新豐4線",'0304 4度C'!$B:$B,"平均")</f>
        <v>143.65055876884045</v>
      </c>
    </row>
    <row r="15" spans="2:17" ht="40.15" customHeight="1">
      <c r="B15" s="121"/>
      <c r="C15" s="73" t="s">
        <v>432</v>
      </c>
      <c r="D15" s="74">
        <f t="shared" ref="D15:M15" si="0">D14/D13</f>
        <v>0.96356096491228127</v>
      </c>
      <c r="E15" s="75">
        <f t="shared" si="0"/>
        <v>0.95340538685880993</v>
      </c>
      <c r="F15" s="75">
        <f t="shared" si="0"/>
        <v>0.96385979805200572</v>
      </c>
      <c r="G15" s="75">
        <f t="shared" si="0"/>
        <v>0.96159240231227561</v>
      </c>
      <c r="H15" s="75">
        <f t="shared" si="0"/>
        <v>0.9563872543792612</v>
      </c>
      <c r="I15" s="75">
        <f t="shared" si="0"/>
        <v>0.95283091295931022</v>
      </c>
      <c r="J15" s="76">
        <f t="shared" si="0"/>
        <v>0.95742789091034386</v>
      </c>
      <c r="K15" s="74">
        <f t="shared" si="0"/>
        <v>0.95865203185791592</v>
      </c>
      <c r="L15" s="75">
        <f t="shared" si="0"/>
        <v>0.9578015030473338</v>
      </c>
      <c r="M15" s="76">
        <f t="shared" si="0"/>
        <v>0.95767039179226965</v>
      </c>
    </row>
    <row r="16" spans="2:17" ht="17.25" customHeight="1">
      <c r="B16" s="122" t="s">
        <v>433</v>
      </c>
      <c r="C16" s="77" t="s">
        <v>434</v>
      </c>
      <c r="D16" s="78">
        <f>VLOOKUP("新豐6線",'0304 4度C'!$A:$T,19,0)</f>
        <v>0.70833333333333337</v>
      </c>
      <c r="E16" s="79">
        <f>VLOOKUP("新豐2線",'0304 4度C'!$A:$T,19,0)</f>
        <v>0.20833333333333334</v>
      </c>
      <c r="F16" s="79">
        <f>VLOOKUP("新豐5線",'0304 4度C'!$A:$T,19,0)</f>
        <v>0.20833333333333334</v>
      </c>
      <c r="G16" s="79">
        <f>VLOOKUP("新豐7線",'0304 4度C'!$A:$T,19,0)</f>
        <v>0.20833333333333334</v>
      </c>
      <c r="H16" s="79">
        <f>VLOOKUP("新豐3線",'0304 4度C'!$A:$T,19,0)</f>
        <v>8.3333333333333329E-2</v>
      </c>
      <c r="I16" s="79">
        <f>VLOOKUP("新豐1線",'0304 4度C'!$A:$T,19,0)</f>
        <v>0.20833333333333334</v>
      </c>
      <c r="J16" s="80">
        <f>VLOOKUP("新豐10線",'0304 4度C'!$A:$T,19,0)</f>
        <v>0.20833333333333334</v>
      </c>
      <c r="K16" s="81">
        <f>VLOOKUP("新豐8線",'0304 4度C'!$A:$T,19,0)</f>
        <v>8.3333333333333329E-2</v>
      </c>
      <c r="L16" s="82">
        <f>VLOOKUP("新豐9線",'0304 4度C'!$A:$T,19,0)</f>
        <v>8.3333333333333329E-2</v>
      </c>
      <c r="M16" s="83">
        <f>VLOOKUP("新豐4線",'0304 4度C'!$A:$T,19,0)</f>
        <v>8.3333333333333329E-2</v>
      </c>
    </row>
    <row r="17" spans="2:13" ht="17.25" customHeight="1">
      <c r="B17" s="123"/>
      <c r="C17" s="77" t="s">
        <v>435</v>
      </c>
      <c r="D17" s="81">
        <f>LOOKUP(2,1/(('0304 4度C'!$A:$A="新豐6線")*('0304 4度C'!$T:$T&lt;&gt;"")),'0304 4度C'!$T:$T)</f>
        <v>0.82638888888888884</v>
      </c>
      <c r="E17" s="79">
        <f>LOOKUP(2,1/(('0304 4度C'!$A:$A="新豐2線")*('0304 4度C'!$T:$T&lt;&gt;"")),'0304 4度C'!$T:$T)</f>
        <v>0.52083333333333326</v>
      </c>
      <c r="F17" s="79">
        <f>LOOKUP(2,1/(('0304 4度C'!$A:$A="新豐5線")*('0304 4度C'!$T:$T&lt;&gt;"")),'0304 4度C'!$T:$T)</f>
        <v>0.89861111111111114</v>
      </c>
      <c r="G17" s="79">
        <f>LOOKUP(2,1/(('0304 4度C'!$A:$A="新豐7線")*('0304 4度C'!$T:$T&lt;&gt;"")),'0304 4度C'!$T:$T)</f>
        <v>0.89166666666666661</v>
      </c>
      <c r="H17" s="79">
        <f>LOOKUP(2,1/(('0304 4度C'!$A:$A="新豐3線")*('0304 4度C'!$T:$T&lt;&gt;"")),'0304 4度C'!$T:$T)</f>
        <v>0.4993055555555555</v>
      </c>
      <c r="I17" s="79">
        <f>LOOKUP(2,1/(('0304 4度C'!$A:$A="新豐1線")*('0304 4度C'!$T:$T&lt;&gt;"")),'0304 4度C'!$T:$T)</f>
        <v>0.89861111111111114</v>
      </c>
      <c r="J17" s="80">
        <f>LOOKUP(2,1/(('0304 4度C'!$A:$A="新豐10線")*('0304 4度C'!$T:$T&lt;&gt;"")),'0304 4度C'!$T:$T)</f>
        <v>0.48888888888888882</v>
      </c>
      <c r="K17" s="78">
        <f>LOOKUP(2,1/(('0304 4度C'!$A:$A="新豐8線")*('0304 4度C'!$T:$T&lt;&gt;"")),'0304 4度C'!$T:$T)</f>
        <v>0.58055555555555538</v>
      </c>
      <c r="L17" s="79">
        <f>LOOKUP(2,1/(('0304 4度C'!$A:$A="新豐9線")*('0304 4度C'!$T:$T&lt;&gt;"")),'0304 4度C'!$T:$T)</f>
        <v>0.63263888888888886</v>
      </c>
      <c r="M17" s="80">
        <f>LOOKUP(2,1/(('0304 4度C'!$A:$A="新豐4線")*('0304 4度C'!$T:$T&lt;&gt;"")),'0304 4度C'!$T:$T)</f>
        <v>0.57638888888888884</v>
      </c>
    </row>
    <row r="18" spans="2:13" ht="17.25" customHeight="1">
      <c r="B18" s="101" t="s">
        <v>436</v>
      </c>
      <c r="C18" s="84" t="s">
        <v>437</v>
      </c>
      <c r="D18" s="85">
        <f>SUMIFS('0304 4度C'!$Y:$Y,'0304 4度C'!$A:$A,"新豐6線",'0304 4度C'!$B:$B,"平均")</f>
        <v>0</v>
      </c>
      <c r="E18" s="86">
        <f>SUMIFS('0304 4度C'!$Y:$Y,'0304 4度C'!$A:$A,"新豐2線",'0304 4度C'!$B:$B,"平均")</f>
        <v>0</v>
      </c>
      <c r="F18" s="86">
        <f>SUMIFS('0304 4度C'!$Y:$Y,'0304 4度C'!$A:$A,"新豐5線",'0304 4度C'!$B:$B,"平均")</f>
        <v>0</v>
      </c>
      <c r="G18" s="86">
        <f>SUMIFS('0304 4度C'!$Y:$Y,'0304 4度C'!$A:$A,"新豐7線",'0304 4度C'!$B:$B,"平均")</f>
        <v>0</v>
      </c>
      <c r="H18" s="86">
        <f>SUMIFS('0304 4度C'!$Y:$Y,'0304 4度C'!$A:$A,"新豐3線",'0304 4度C'!$B:$B,"平均")</f>
        <v>0</v>
      </c>
      <c r="I18" s="86">
        <f>SUMIFS('0304 4度C'!$Y:$Y,'0304 4度C'!$A:$A,"新豐1線",'0304 4度C'!$B:$B,"平均")</f>
        <v>0</v>
      </c>
      <c r="J18" s="87">
        <f>SUMIFS('0304 4度C'!$Y:$Y,'0304 4度C'!$A:$A,"新豐10線",'0304 4度C'!$B:$B,"平均")</f>
        <v>0</v>
      </c>
      <c r="K18" s="88">
        <f>SUMIFS('0304 4度C'!$Y:$Y,'0304 4度C'!$A:$A,"新豐8線",'0304 4度C'!$B:$B,"平均")</f>
        <v>0</v>
      </c>
      <c r="L18" s="86">
        <f>SUMIFS('0304 4度C'!$Y:$Y,'0304 4度C'!$A:$A,"新豐9線",'0304 4度C'!$B:$B,"平均")</f>
        <v>0</v>
      </c>
      <c r="M18" s="87">
        <f>SUMIFS('0304 4度C'!$Y:$Y,'0304 4度C'!$A:$A,"新豐4線",'0304 4度C'!$B:$B,"平均")</f>
        <v>0</v>
      </c>
    </row>
    <row r="19" spans="2:13" ht="17.25" customHeight="1">
      <c r="B19" s="102"/>
      <c r="C19" s="84" t="s">
        <v>438</v>
      </c>
      <c r="D19" s="85">
        <f>SUMIFS('0304 4度C'!$Z:$Z,'0304 4度C'!$A:$A,"新豐6線",'0304 4度C'!$B:$B,"平均")</f>
        <v>0</v>
      </c>
      <c r="E19" s="86">
        <f>SUMIFS('0304 4度C'!$Z:$Z,'0304 4度C'!$A:$A,"新豐2線",'0304 4度C'!$B:$B,"平均")</f>
        <v>0</v>
      </c>
      <c r="F19" s="86">
        <f>SUMIFS('0304 4度C'!$Z:$Z,'0304 4度C'!$A:$A,"新豐5線",'0304 4度C'!$B:$B,"平均")</f>
        <v>0</v>
      </c>
      <c r="G19" s="86">
        <f>SUMIFS('0304 4度C'!$Z:$Z,'0304 4度C'!$A:$A,"新豐7線",'0304 4度C'!$B:$B,"平均")</f>
        <v>0</v>
      </c>
      <c r="H19" s="86">
        <f>SUMIFS('0304 4度C'!$Z:$Z,'0304 4度C'!$A:$A,"新豐3線",'0304 4度C'!$B:$B,"平均")</f>
        <v>0</v>
      </c>
      <c r="I19" s="86">
        <f>SUMIFS('0304 4度C'!$Z:$Z,'0304 4度C'!$A:$A,"新豐1線",'0304 4度C'!$B:$B,"平均")</f>
        <v>0</v>
      </c>
      <c r="J19" s="87">
        <f>SUMIFS('0304 4度C'!$Z:$Z,'0304 4度C'!$A:$A,"新豐10線",'0304 4度C'!$B:$B,"平均")</f>
        <v>0</v>
      </c>
      <c r="K19" s="88">
        <f>SUMIFS('0304 4度C'!$Z:$Z,'0304 4度C'!$A:$A,"新豐8線",'0304 4度C'!$B:$B,"平均")</f>
        <v>0</v>
      </c>
      <c r="L19" s="86">
        <f>SUMIFS('0304 4度C'!$Z:$Z,'0304 4度C'!$A:$A,"新豐9線",'0304 4度C'!$B:$B,"平均")</f>
        <v>0</v>
      </c>
      <c r="M19" s="87">
        <f>SUMIFS('0304 4度C'!$Z:$Z,'0304 4度C'!$A:$A,"新豐4線",'0304 4度C'!$B:$B,"平均")</f>
        <v>0</v>
      </c>
    </row>
    <row r="20" spans="2:13" ht="17.25" customHeight="1">
      <c r="B20" s="101" t="s">
        <v>439</v>
      </c>
      <c r="C20" s="84" t="s">
        <v>437</v>
      </c>
      <c r="D20" s="85">
        <f>SUMIFS('0304 4度C'!$AC:$AC,'0304 4度C'!$A:$A,"新豐6線",'0304 4度C'!$B:$B,"平均")</f>
        <v>5</v>
      </c>
      <c r="E20" s="86">
        <f>SUMIFS('0304 4度C'!$AC:$AC,'0304 4度C'!$A:$A,"新豐2線",'0304 4度C'!$B:$B,"平均")</f>
        <v>2</v>
      </c>
      <c r="F20" s="86">
        <f>SUMIFS('0304 4度C'!$AC:$AC,'0304 4度C'!$A:$A,"新豐5線",'0304 4度C'!$B:$B,"平均")</f>
        <v>5</v>
      </c>
      <c r="G20" s="86">
        <f>SUMIFS('0304 4度C'!$AC:$AC,'0304 4度C'!$A:$A,"新豐7線",'0304 4度C'!$B:$B,"平均")</f>
        <v>6</v>
      </c>
      <c r="H20" s="86">
        <f>SUMIFS('0304 4度C'!$AC:$AC,'0304 4度C'!$A:$A,"新豐3線",'0304 4度C'!$B:$B,"平均")</f>
        <v>6</v>
      </c>
      <c r="I20" s="86">
        <f>SUMIFS('0304 4度C'!$AC:$AC,'0304 4度C'!$A:$A,"新豐1線",'0304 4度C'!$B:$B,"平均")</f>
        <v>9</v>
      </c>
      <c r="J20" s="87">
        <f>SUMIFS('0304 4度C'!$AC:$AC,'0304 4度C'!$A:$A,"新豐10線",'0304 4度C'!$B:$B,"平均")</f>
        <v>5</v>
      </c>
      <c r="K20" s="88">
        <f>SUMIFS('0304 4度C'!$AC:$AC,'0304 4度C'!$A:$A,"新豐8線",'0304 4度C'!$B:$B,"平均")</f>
        <v>7</v>
      </c>
      <c r="L20" s="86">
        <f>SUMIFS('0304 4度C'!$AC:$AC,'0304 4度C'!$A:$A,"新豐9線",'0304 4度C'!$B:$B,"平均")</f>
        <v>7</v>
      </c>
      <c r="M20" s="87">
        <f>SUMIFS('0304 4度C'!$AC:$AC,'0304 4度C'!$A:$A,"新豐4線",'0304 4度C'!$B:$B,"平均")</f>
        <v>5</v>
      </c>
    </row>
    <row r="21" spans="2:13" ht="17.25" customHeight="1">
      <c r="B21" s="102"/>
      <c r="C21" s="84" t="s">
        <v>440</v>
      </c>
      <c r="D21" s="85">
        <f>SUMIFS('0304 4度C'!$AD:$AD,'0304 4度C'!$A:$A,"新豐6線",'0304 4度C'!$B:$B,"平均")</f>
        <v>0</v>
      </c>
      <c r="E21" s="86">
        <f>SUMIFS('0304 4度C'!$AD:$AD,'0304 4度C'!$A:$A,"新豐2線",'0304 4度C'!$B:$B,"平均")</f>
        <v>0</v>
      </c>
      <c r="F21" s="86">
        <f>SUMIFS('0304 4度C'!$AD:$AD,'0304 4度C'!$A:$A,"新豐5線",'0304 4度C'!$B:$B,"平均")</f>
        <v>0</v>
      </c>
      <c r="G21" s="86">
        <f>SUMIFS('0304 4度C'!$AD:$AD,'0304 4度C'!$A:$A,"新豐7線",'0304 4度C'!$B:$B,"平均")</f>
        <v>0</v>
      </c>
      <c r="H21" s="86">
        <f>SUMIFS('0304 4度C'!$AD:$AD,'0304 4度C'!$A:$A,"新豐3線",'0304 4度C'!$B:$B,"平均")</f>
        <v>0</v>
      </c>
      <c r="I21" s="86">
        <f>SUMIFS('0304 4度C'!$AD:$AD,'0304 4度C'!$A:$A,"新豐1線",'0304 4度C'!$B:$B,"平均")</f>
        <v>0</v>
      </c>
      <c r="J21" s="87">
        <f>SUMIFS('0304 4度C'!$AD:$AD,'0304 4度C'!$A:$A,"新豐10線",'0304 4度C'!$B:$B,"平均")</f>
        <v>0</v>
      </c>
      <c r="K21" s="88">
        <f>SUMIFS('0304 4度C'!$AD:$AD,'0304 4度C'!$A:$A,"新豐8線",'0304 4度C'!$B:$B,"平均")</f>
        <v>0</v>
      </c>
      <c r="L21" s="86">
        <f>SUMIFS('0304 4度C'!$AD:$AD,'0304 4度C'!$A:$A,"新豐9線",'0304 4度C'!$B:$B,"平均")</f>
        <v>0</v>
      </c>
      <c r="M21" s="87">
        <f>SUMIFS('0304 4度C'!$AD:$AD,'0304 4度C'!$A:$A,"新豐4線",'0304 4度C'!$B:$B,"平均")</f>
        <v>0</v>
      </c>
    </row>
    <row r="22" spans="2:13" ht="17.25" customHeight="1">
      <c r="B22" s="103" t="s">
        <v>441</v>
      </c>
      <c r="C22" s="104"/>
      <c r="D22" s="89">
        <f>SUMIFS('0304 4度C'!$I:$I,'0304 4度C'!$A:$A,"新豐6線",'0304 4度C'!$B:$B,"平均")</f>
        <v>17.8</v>
      </c>
      <c r="E22" s="90">
        <f>SUMIFS('0304 4度C'!$I:$I,'0304 4度C'!$A:$A,"新豐2線",'0304 4度C'!$B:$B,"平均")</f>
        <v>18</v>
      </c>
      <c r="F22" s="90">
        <f>SUMIFS('0304 4度C'!$I:$I,'0304 4度C'!$A:$A,"新豐5線",'0304 4度C'!$B:$B,"平均")</f>
        <v>17.399999999999999</v>
      </c>
      <c r="G22" s="90">
        <f>SUMIFS('0304 4度C'!$I:$I,'0304 4度C'!$A:$A,"新豐7線",'0304 4度C'!$B:$B,"平均")</f>
        <v>15</v>
      </c>
      <c r="H22" s="90">
        <f>SUMIFS('0304 4度C'!$I:$I,'0304 4度C'!$A:$A,"新豐3線",'0304 4度C'!$B:$B,"平均")</f>
        <v>9.5</v>
      </c>
      <c r="I22" s="90">
        <f>SUMIFS('0304 4度C'!$I:$I,'0304 4度C'!$A:$A,"新豐1線",'0304 4度C'!$B:$B,"平均")</f>
        <v>18.666666666666668</v>
      </c>
      <c r="J22" s="91">
        <f>SUMIFS('0304 4度C'!$I:$I,'0304 4度C'!$A:$A,"新豐10線",'0304 4度C'!$B:$B,"平均")</f>
        <v>10</v>
      </c>
      <c r="K22" s="89">
        <f>SUMIFS('0304 4度C'!$I:$I,'0304 4度C'!$A:$A,"新豐8線",'0304 4度C'!$B:$B,"平均")</f>
        <v>18.142857142857142</v>
      </c>
      <c r="L22" s="90">
        <f>SUMIFS('0304 4度C'!$I:$I,'0304 4度C'!$A:$A,"新豐9線",'0304 4度C'!$B:$B,"平均")</f>
        <v>17.285714285714285</v>
      </c>
      <c r="M22" s="91">
        <f>SUMIFS('0304 4度C'!$I:$I,'0304 4度C'!$A:$A,"新豐4線",'0304 4度C'!$B:$B,"平均")</f>
        <v>16</v>
      </c>
    </row>
    <row r="23" spans="2:13" ht="17.25" customHeight="1">
      <c r="B23" s="103" t="s">
        <v>442</v>
      </c>
      <c r="C23" s="104"/>
      <c r="D23" s="92" t="s">
        <v>185</v>
      </c>
      <c r="E23" s="93" t="s">
        <v>186</v>
      </c>
      <c r="F23" s="93" t="s">
        <v>443</v>
      </c>
      <c r="G23" s="93" t="s">
        <v>443</v>
      </c>
      <c r="H23" s="93" t="s">
        <v>188</v>
      </c>
      <c r="I23" s="93" t="s">
        <v>185</v>
      </c>
      <c r="J23" s="94" t="s">
        <v>188</v>
      </c>
      <c r="K23" s="92" t="s">
        <v>444</v>
      </c>
      <c r="L23" s="93" t="s">
        <v>444</v>
      </c>
      <c r="M23" s="94" t="s">
        <v>444</v>
      </c>
    </row>
    <row r="24" spans="2:13" ht="17.25" customHeight="1">
      <c r="B24" s="103" t="s">
        <v>445</v>
      </c>
      <c r="C24" s="104"/>
      <c r="D24" s="92"/>
      <c r="E24" s="93"/>
      <c r="F24" s="93" t="s">
        <v>446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447</v>
      </c>
      <c r="C25" s="106"/>
      <c r="D25" s="95"/>
      <c r="E25" s="96" t="s">
        <v>448</v>
      </c>
      <c r="F25" s="99" t="s">
        <v>449</v>
      </c>
      <c r="G25" s="100"/>
      <c r="H25" s="96" t="s">
        <v>450</v>
      </c>
      <c r="I25" s="96" t="s">
        <v>451</v>
      </c>
      <c r="J25" s="97" t="s">
        <v>450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E13" sqref="E13"/>
      <selection pane="bottomLeft" activeCell="E13" sqref="E1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452</v>
      </c>
      <c r="B1" s="1"/>
      <c r="C1" s="2" t="s">
        <v>453</v>
      </c>
      <c r="D1" s="3">
        <f>SUM(F5:F71)</f>
        <v>156739</v>
      </c>
      <c r="E1" s="4" t="s">
        <v>454</v>
      </c>
      <c r="F1" s="1">
        <f>SUM(G5:G71)</f>
        <v>5142445.4500000011</v>
      </c>
      <c r="G1" s="1" t="s">
        <v>455</v>
      </c>
      <c r="H1" s="5">
        <f>L10+L13+L49+L59+L19+L65+L34+L42+L26+L71</f>
        <v>157.79523809523809</v>
      </c>
      <c r="I1" s="212" t="s">
        <v>456</v>
      </c>
      <c r="J1" s="212"/>
      <c r="K1" s="212"/>
      <c r="L1" s="212" t="s">
        <v>457</v>
      </c>
      <c r="M1" s="212"/>
      <c r="N1" s="212"/>
      <c r="O1" s="212" t="s">
        <v>458</v>
      </c>
      <c r="P1" s="212"/>
      <c r="Q1" s="212"/>
      <c r="R1" s="212"/>
      <c r="S1" s="212" t="s">
        <v>459</v>
      </c>
      <c r="T1" s="212"/>
      <c r="U1" s="212"/>
      <c r="V1" s="212"/>
      <c r="W1" s="212"/>
      <c r="X1" s="212"/>
      <c r="Y1" s="6" t="s">
        <v>460</v>
      </c>
      <c r="Z1" s="7" t="s">
        <v>461</v>
      </c>
      <c r="AA1" s="213" t="s">
        <v>462</v>
      </c>
      <c r="AB1" s="213"/>
      <c r="AC1" s="42" t="s">
        <v>463</v>
      </c>
      <c r="AD1" s="7" t="s">
        <v>464</v>
      </c>
      <c r="AE1" s="212" t="s">
        <v>465</v>
      </c>
      <c r="AF1" s="214"/>
      <c r="AG1" s="214"/>
    </row>
    <row r="2" spans="1:33" ht="26.25" customHeight="1">
      <c r="A2" s="33">
        <v>46085</v>
      </c>
      <c r="B2" s="34" t="s">
        <v>466</v>
      </c>
      <c r="C2" s="2" t="s">
        <v>429</v>
      </c>
      <c r="D2" s="9">
        <f>AVERAGE(N10,N13,N49,N59,N19,N65,N26,N34,N42,N71)</f>
        <v>142.58455095484317</v>
      </c>
      <c r="E2" s="10" t="s">
        <v>14</v>
      </c>
      <c r="F2" s="11">
        <f>F1/D1</f>
        <v>32.808971921474559</v>
      </c>
      <c r="G2" s="1" t="s">
        <v>467</v>
      </c>
      <c r="H2" s="12">
        <f>COUNT(H5:H71)</f>
        <v>7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SUM(Y10+Y13+Y19+Y26+Y34+Y42+Y49+Y59+Y65+Y71)</f>
        <v>0</v>
      </c>
      <c r="Z2" s="13">
        <f>SUM(Z10+Z13+Z19+Z26+Z34+Z42+Z49+Z59+Z65+Z71)</f>
        <v>0</v>
      </c>
      <c r="AA2" s="213"/>
      <c r="AB2" s="213"/>
      <c r="AC2" s="13">
        <f>SUM(AC10+AC13+AC19+AC26+AC34+AC42+AC49+AC59+AC65+AC71)</f>
        <v>57</v>
      </c>
      <c r="AD2" s="13">
        <f>SUM(AD10+AD13+AD19+AD26+AD34+AD42+AD49+AD59+AD65+AD71)</f>
        <v>0</v>
      </c>
      <c r="AE2" s="214"/>
      <c r="AF2" s="214"/>
      <c r="AG2" s="214"/>
    </row>
    <row r="3" spans="1:33" ht="40.5" customHeight="1">
      <c r="A3" s="162" t="s">
        <v>468</v>
      </c>
      <c r="B3" s="162" t="s">
        <v>469</v>
      </c>
      <c r="C3" s="162" t="s">
        <v>470</v>
      </c>
      <c r="D3" s="162"/>
      <c r="E3" s="210" t="s">
        <v>471</v>
      </c>
      <c r="F3" s="162" t="s">
        <v>472</v>
      </c>
      <c r="G3" s="210" t="s">
        <v>473</v>
      </c>
      <c r="H3" s="204" t="s">
        <v>474</v>
      </c>
      <c r="I3" s="202" t="s">
        <v>475</v>
      </c>
      <c r="J3" s="199" t="s">
        <v>476</v>
      </c>
      <c r="K3" s="209" t="s">
        <v>429</v>
      </c>
      <c r="L3" s="202" t="s">
        <v>477</v>
      </c>
      <c r="M3" s="199" t="s">
        <v>478</v>
      </c>
      <c r="N3" s="209" t="s">
        <v>429</v>
      </c>
      <c r="O3" s="202" t="s">
        <v>477</v>
      </c>
      <c r="P3" s="209" t="s">
        <v>429</v>
      </c>
      <c r="Q3" s="200" t="s">
        <v>479</v>
      </c>
      <c r="R3" s="178" t="s">
        <v>480</v>
      </c>
      <c r="S3" s="162" t="s">
        <v>27</v>
      </c>
      <c r="T3" s="162"/>
      <c r="U3" s="204" t="s">
        <v>28</v>
      </c>
      <c r="V3" s="204" t="s">
        <v>373</v>
      </c>
      <c r="W3" s="162" t="s">
        <v>481</v>
      </c>
      <c r="X3" s="162"/>
      <c r="Y3" s="205" t="s">
        <v>482</v>
      </c>
      <c r="Z3" s="166"/>
      <c r="AA3" s="206" t="s">
        <v>483</v>
      </c>
      <c r="AB3" s="207"/>
      <c r="AC3" s="205" t="s">
        <v>484</v>
      </c>
      <c r="AD3" s="166"/>
      <c r="AE3" s="199" t="s">
        <v>485</v>
      </c>
      <c r="AF3" s="200" t="s">
        <v>479</v>
      </c>
      <c r="AG3" s="178" t="s">
        <v>480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486</v>
      </c>
      <c r="X4" s="4" t="s">
        <v>487</v>
      </c>
      <c r="Y4" s="14" t="s">
        <v>437</v>
      </c>
      <c r="Z4" s="14" t="s">
        <v>42</v>
      </c>
      <c r="AA4" s="208"/>
      <c r="AB4" s="207"/>
      <c r="AC4" s="14" t="s">
        <v>488</v>
      </c>
      <c r="AD4" s="14" t="s">
        <v>489</v>
      </c>
      <c r="AE4" s="199"/>
      <c r="AF4" s="200"/>
      <c r="AG4" s="178"/>
    </row>
    <row r="5" spans="1:33">
      <c r="A5" s="201" t="s">
        <v>490</v>
      </c>
      <c r="B5" s="35" t="s">
        <v>78</v>
      </c>
      <c r="C5" s="203" t="s">
        <v>79</v>
      </c>
      <c r="D5" s="203"/>
      <c r="E5" s="35">
        <v>50.67</v>
      </c>
      <c r="F5" s="4">
        <v>1447</v>
      </c>
      <c r="G5" s="4">
        <f t="shared" ref="G5:G9" si="0">E5*F5</f>
        <v>73319.490000000005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4">
        <v>17</v>
      </c>
      <c r="M5" s="17">
        <f t="shared" ref="M5:M9" si="2">F5/V5*60</f>
        <v>1929.3333333333335</v>
      </c>
      <c r="N5" s="16">
        <f t="shared" ref="N5:N68" si="3">M5/L5</f>
        <v>113.49019607843138</v>
      </c>
      <c r="O5" s="18">
        <f t="shared" ref="O5:O68" si="4">L5-I5</f>
        <v>0</v>
      </c>
      <c r="P5" s="19">
        <f t="shared" ref="P5:P68" si="5">N5-K5</f>
        <v>-4.1568627450980244</v>
      </c>
      <c r="Q5" s="20">
        <f t="shared" ref="Q5:Q68" si="6">N5/K5</f>
        <v>0.96466666666666678</v>
      </c>
      <c r="R5" s="170">
        <f>Q10</f>
        <v>0.96356096491228127</v>
      </c>
      <c r="S5" s="27">
        <v>0.70833333333333337</v>
      </c>
      <c r="T5" s="27">
        <v>0.73958333333333337</v>
      </c>
      <c r="U5" s="4"/>
      <c r="V5" s="21">
        <f t="shared" ref="V5:V9" si="7">(T5-S5)*24*60</f>
        <v>45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58" si="8">M5-J5</f>
        <v>-70.666666666666515</v>
      </c>
      <c r="AF5" s="20">
        <f t="shared" ref="AF5:AF68" si="9">M5/J5</f>
        <v>0.96466666666666678</v>
      </c>
      <c r="AG5" s="170">
        <f>AF10</f>
        <v>0.96356096491228127</v>
      </c>
    </row>
    <row r="6" spans="1:33">
      <c r="A6" s="202" t="s">
        <v>490</v>
      </c>
      <c r="B6" s="35" t="s">
        <v>78</v>
      </c>
      <c r="C6" s="203" t="s">
        <v>80</v>
      </c>
      <c r="D6" s="203"/>
      <c r="E6" s="35">
        <v>54.09</v>
      </c>
      <c r="F6" s="4">
        <v>1273</v>
      </c>
      <c r="G6" s="4">
        <f t="shared" si="0"/>
        <v>68856.570000000007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4">
        <v>19</v>
      </c>
      <c r="M6" s="17">
        <f t="shared" si="2"/>
        <v>1909.4999999999993</v>
      </c>
      <c r="N6" s="16">
        <f t="shared" si="3"/>
        <v>100.49999999999996</v>
      </c>
      <c r="O6" s="18">
        <f t="shared" si="4"/>
        <v>0</v>
      </c>
      <c r="P6" s="19">
        <f t="shared" si="5"/>
        <v>-4.763157894736878</v>
      </c>
      <c r="Q6" s="20">
        <f t="shared" si="6"/>
        <v>0.95474999999999965</v>
      </c>
      <c r="R6" s="170"/>
      <c r="S6" s="27">
        <v>0.74305555555555558</v>
      </c>
      <c r="T6" s="27">
        <v>0.77083333333333337</v>
      </c>
      <c r="U6" s="4">
        <f t="shared" ref="U6:U9" si="10">IF(S6=TIME(17,0,0),"",(S6-T5)*24*60)</f>
        <v>4.9999999999999822</v>
      </c>
      <c r="V6" s="21">
        <f t="shared" si="7"/>
        <v>40.000000000000014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-90.500000000000682</v>
      </c>
      <c r="AF6" s="20">
        <f t="shared" si="9"/>
        <v>0.95474999999999965</v>
      </c>
      <c r="AG6" s="170"/>
    </row>
    <row r="7" spans="1:33">
      <c r="A7" s="202" t="s">
        <v>490</v>
      </c>
      <c r="B7" s="35" t="s">
        <v>78</v>
      </c>
      <c r="C7" s="197" t="s">
        <v>81</v>
      </c>
      <c r="D7" s="198"/>
      <c r="E7" s="35">
        <v>50.29</v>
      </c>
      <c r="F7" s="4">
        <v>511</v>
      </c>
      <c r="G7" s="4">
        <f t="shared" si="0"/>
        <v>25698.19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4">
        <v>16</v>
      </c>
      <c r="M7" s="17">
        <f t="shared" si="2"/>
        <v>1916.2500000000068</v>
      </c>
      <c r="N7" s="16">
        <f t="shared" si="3"/>
        <v>119.76562500000043</v>
      </c>
      <c r="O7" s="18">
        <f t="shared" si="4"/>
        <v>0</v>
      </c>
      <c r="P7" s="19">
        <f t="shared" si="5"/>
        <v>-5.2343749999995737</v>
      </c>
      <c r="Q7" s="20">
        <f t="shared" si="6"/>
        <v>0.95812500000000345</v>
      </c>
      <c r="R7" s="170"/>
      <c r="S7" s="27">
        <v>0.77430555555555558</v>
      </c>
      <c r="T7" s="27">
        <v>0.78541666666666665</v>
      </c>
      <c r="U7" s="4">
        <f t="shared" si="10"/>
        <v>4.9999999999999822</v>
      </c>
      <c r="V7" s="21">
        <f t="shared" si="7"/>
        <v>15.999999999999943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-83.749999999993179</v>
      </c>
      <c r="AF7" s="20">
        <f t="shared" si="9"/>
        <v>0.95812500000000345</v>
      </c>
      <c r="AG7" s="170"/>
    </row>
    <row r="8" spans="1:33">
      <c r="A8" s="202" t="s">
        <v>490</v>
      </c>
      <c r="B8" s="35" t="s">
        <v>78</v>
      </c>
      <c r="C8" s="197" t="s">
        <v>82</v>
      </c>
      <c r="D8" s="198"/>
      <c r="E8" s="35">
        <v>50.67</v>
      </c>
      <c r="F8" s="4">
        <v>605</v>
      </c>
      <c r="G8" s="4">
        <f t="shared" si="0"/>
        <v>30655.350000000002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4">
        <v>21</v>
      </c>
      <c r="M8" s="17">
        <f t="shared" si="2"/>
        <v>1910.5263157894803</v>
      </c>
      <c r="N8" s="16">
        <f t="shared" si="3"/>
        <v>90.97744360902287</v>
      </c>
      <c r="O8" s="18">
        <f t="shared" si="4"/>
        <v>0</v>
      </c>
      <c r="P8" s="19">
        <f t="shared" si="5"/>
        <v>-4.2606516290723704</v>
      </c>
      <c r="Q8" s="20">
        <f t="shared" si="6"/>
        <v>0.95526315789474014</v>
      </c>
      <c r="R8" s="170"/>
      <c r="S8" s="27">
        <v>0.79097222222222219</v>
      </c>
      <c r="T8" s="27">
        <v>0.80416666666666659</v>
      </c>
      <c r="U8" s="4">
        <f t="shared" si="10"/>
        <v>7.9999999999999716</v>
      </c>
      <c r="V8" s="21">
        <f t="shared" si="7"/>
        <v>18.999999999999932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-89.47368421051965</v>
      </c>
      <c r="AF8" s="20">
        <f t="shared" si="9"/>
        <v>0.95526315789474014</v>
      </c>
      <c r="AG8" s="170"/>
    </row>
    <row r="9" spans="1:33">
      <c r="A9" s="202" t="s">
        <v>491</v>
      </c>
      <c r="B9" s="35" t="s">
        <v>78</v>
      </c>
      <c r="C9" s="197" t="s">
        <v>83</v>
      </c>
      <c r="D9" s="198"/>
      <c r="E9" s="35">
        <v>50.67</v>
      </c>
      <c r="F9" s="4">
        <v>788</v>
      </c>
      <c r="G9" s="4">
        <f t="shared" si="0"/>
        <v>39927.96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4">
        <v>16</v>
      </c>
      <c r="M9" s="17">
        <f t="shared" si="2"/>
        <v>1969.9999999999936</v>
      </c>
      <c r="N9" s="16">
        <f t="shared" si="3"/>
        <v>123.1249999999996</v>
      </c>
      <c r="O9" s="18">
        <f t="shared" si="4"/>
        <v>0</v>
      </c>
      <c r="P9" s="19">
        <f t="shared" si="5"/>
        <v>-1.8750000000003979</v>
      </c>
      <c r="Q9" s="20">
        <f t="shared" si="6"/>
        <v>0.98499999999999677</v>
      </c>
      <c r="R9" s="170"/>
      <c r="S9" s="27">
        <v>0.80972222222222212</v>
      </c>
      <c r="T9" s="27">
        <v>0.82638888888888884</v>
      </c>
      <c r="U9" s="4">
        <f t="shared" si="10"/>
        <v>7.9999999999999716</v>
      </c>
      <c r="V9" s="21">
        <f t="shared" si="7"/>
        <v>24.000000000000075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-30.000000000006366</v>
      </c>
      <c r="AF9" s="20">
        <f t="shared" si="9"/>
        <v>0.98499999999999677</v>
      </c>
      <c r="AG9" s="170"/>
    </row>
    <row r="10" spans="1:33">
      <c r="A10" s="202" t="s">
        <v>491</v>
      </c>
      <c r="B10" s="35" t="s">
        <v>492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17">
        <v>17.8</v>
      </c>
      <c r="M10" s="17">
        <f>AVERAGE(M5:M9)</f>
        <v>1927.1219298245626</v>
      </c>
      <c r="N10" s="16">
        <f t="shared" si="3"/>
        <v>108.2652769564361</v>
      </c>
      <c r="O10" s="18">
        <f t="shared" si="4"/>
        <v>0</v>
      </c>
      <c r="P10" s="19">
        <f t="shared" si="5"/>
        <v>-4.09427360536165</v>
      </c>
      <c r="Q10" s="20">
        <f t="shared" si="6"/>
        <v>0.96356096491228127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f>SUM(AC5:AC9)</f>
        <v>5</v>
      </c>
      <c r="AD10" s="30">
        <f>SUM(AD5:AD9)</f>
        <v>0</v>
      </c>
      <c r="AE10" s="18">
        <f t="shared" si="8"/>
        <v>-72.878070175437415</v>
      </c>
      <c r="AF10" s="20">
        <f t="shared" si="9"/>
        <v>0.96356096491228127</v>
      </c>
      <c r="AG10" s="170"/>
    </row>
    <row r="11" spans="1:33" ht="15.75" customHeight="1">
      <c r="A11" s="196" t="s">
        <v>493</v>
      </c>
      <c r="B11" s="35" t="s">
        <v>84</v>
      </c>
      <c r="C11" s="197" t="s">
        <v>85</v>
      </c>
      <c r="D11" s="198"/>
      <c r="E11" s="35">
        <v>39.619999999999997</v>
      </c>
      <c r="F11" s="4">
        <v>4142</v>
      </c>
      <c r="G11" s="4">
        <f t="shared" ref="G11:G12" si="11">E11*F11</f>
        <v>164106.03999999998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4">
        <v>19</v>
      </c>
      <c r="M11" s="17">
        <f t="shared" ref="M11:M12" si="12">F11/V11*60</f>
        <v>1428.2758620689658</v>
      </c>
      <c r="N11" s="16">
        <f t="shared" si="3"/>
        <v>75.172413793103459</v>
      </c>
      <c r="O11" s="18">
        <f t="shared" si="4"/>
        <v>0</v>
      </c>
      <c r="P11" s="19">
        <f t="shared" si="5"/>
        <v>-3.774954627949171</v>
      </c>
      <c r="Q11" s="20">
        <f t="shared" si="6"/>
        <v>0.95218390804597719</v>
      </c>
      <c r="R11" s="170">
        <f>Q13</f>
        <v>0.95340538685880993</v>
      </c>
      <c r="S11" s="27">
        <v>0.20833333333333334</v>
      </c>
      <c r="T11" s="27">
        <v>0.32916666666666666</v>
      </c>
      <c r="U11" s="4"/>
      <c r="V11" s="21">
        <f t="shared" ref="V11:V12" si="13">(T11-S11)*24*60</f>
        <v>173.99999999999997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-71.724137931034193</v>
      </c>
      <c r="AF11" s="20">
        <f t="shared" si="9"/>
        <v>0.95218390804597719</v>
      </c>
      <c r="AG11" s="170">
        <f>AF13</f>
        <v>0.95340538685880982</v>
      </c>
    </row>
    <row r="12" spans="1:33" ht="15.75" customHeight="1">
      <c r="A12" s="196" t="s">
        <v>494</v>
      </c>
      <c r="B12" s="35" t="s">
        <v>84</v>
      </c>
      <c r="C12" s="197" t="s">
        <v>86</v>
      </c>
      <c r="D12" s="198"/>
      <c r="E12" s="35">
        <v>39.799999999999997</v>
      </c>
      <c r="F12" s="4">
        <v>6396</v>
      </c>
      <c r="G12" s="4">
        <f t="shared" si="11"/>
        <v>254560.8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4">
        <v>17</v>
      </c>
      <c r="M12" s="17">
        <f t="shared" si="12"/>
        <v>1431.9402985074635</v>
      </c>
      <c r="N12" s="16">
        <f t="shared" si="3"/>
        <v>84.231782265144915</v>
      </c>
      <c r="O12" s="18">
        <f t="shared" si="4"/>
        <v>0</v>
      </c>
      <c r="P12" s="19">
        <f t="shared" si="5"/>
        <v>-4.0035118525021431</v>
      </c>
      <c r="Q12" s="20">
        <f t="shared" si="6"/>
        <v>0.95462686567164234</v>
      </c>
      <c r="R12" s="170"/>
      <c r="S12" s="27">
        <v>0.3347222222222222</v>
      </c>
      <c r="T12" s="27">
        <v>0.52083333333333326</v>
      </c>
      <c r="U12" s="4">
        <f t="shared" ref="U12" si="14">IF(S12=TIME(17,0,0),"",(S12-T11)*24*60)</f>
        <v>7.9999999999999716</v>
      </c>
      <c r="V12" s="21">
        <f t="shared" si="13"/>
        <v>267.99999999999989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-68.059701492536533</v>
      </c>
      <c r="AF12" s="20">
        <f t="shared" si="9"/>
        <v>0.95462686567164234</v>
      </c>
      <c r="AG12" s="170"/>
    </row>
    <row r="13" spans="1:33" ht="16.5" customHeight="1">
      <c r="A13" s="196" t="s">
        <v>494</v>
      </c>
      <c r="B13" s="35" t="s">
        <v>492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17">
        <v>18</v>
      </c>
      <c r="M13" s="17">
        <f>AVERAGE(M11:M12)</f>
        <v>1430.1080802882148</v>
      </c>
      <c r="N13" s="16">
        <f t="shared" si="3"/>
        <v>79.450448904900824</v>
      </c>
      <c r="O13" s="18">
        <f t="shared" si="4"/>
        <v>0</v>
      </c>
      <c r="P13" s="19">
        <f t="shared" si="5"/>
        <v>-3.8828844284325044</v>
      </c>
      <c r="Q13" s="20">
        <f t="shared" si="6"/>
        <v>0.95340538685880993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f>SUM(AC11:AC12)</f>
        <v>2</v>
      </c>
      <c r="AD13" s="30">
        <f>SUM(AD11:AD12)</f>
        <v>0</v>
      </c>
      <c r="AE13" s="18">
        <f t="shared" si="8"/>
        <v>-69.891919711785249</v>
      </c>
      <c r="AF13" s="20">
        <f t="shared" si="9"/>
        <v>0.95340538685880982</v>
      </c>
      <c r="AG13" s="170"/>
    </row>
    <row r="14" spans="1:33" ht="16.5" customHeight="1">
      <c r="A14" s="194" t="s">
        <v>495</v>
      </c>
      <c r="B14" s="4" t="s">
        <v>87</v>
      </c>
      <c r="C14" s="190" t="s">
        <v>88</v>
      </c>
      <c r="D14" s="190"/>
      <c r="E14" s="35">
        <v>41</v>
      </c>
      <c r="F14" s="4">
        <v>2737</v>
      </c>
      <c r="G14" s="4">
        <f t="shared" ref="G14:G18" si="15">E14*F14</f>
        <v>112217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4">
        <v>26</v>
      </c>
      <c r="M14" s="17">
        <f t="shared" ref="M14:M18" si="16">F14/V14*60</f>
        <v>1427.9999999999995</v>
      </c>
      <c r="N14" s="16">
        <f t="shared" si="3"/>
        <v>54.923076923076906</v>
      </c>
      <c r="O14" s="18">
        <f t="shared" si="4"/>
        <v>0</v>
      </c>
      <c r="P14" s="19">
        <f t="shared" si="5"/>
        <v>-2.7692307692307878</v>
      </c>
      <c r="Q14" s="20">
        <f t="shared" si="6"/>
        <v>0.95199999999999962</v>
      </c>
      <c r="R14" s="170">
        <f>Q19</f>
        <v>0.96385979805200572</v>
      </c>
      <c r="S14" s="27">
        <v>0.20833333333333334</v>
      </c>
      <c r="T14" s="27">
        <v>0.28819444444444448</v>
      </c>
      <c r="U14" s="4"/>
      <c r="V14" s="21">
        <f t="shared" ref="V14:V18" si="17">(T14-S14)*24*60</f>
        <v>115.00000000000003</v>
      </c>
      <c r="W14" s="27"/>
      <c r="X14" s="27"/>
      <c r="Y14" s="27"/>
      <c r="Z14" s="27"/>
      <c r="AA14" s="162"/>
      <c r="AB14" s="162"/>
      <c r="AC14" s="24">
        <v>5</v>
      </c>
      <c r="AD14" s="24"/>
      <c r="AE14" s="18">
        <f t="shared" si="8"/>
        <v>-72.000000000000455</v>
      </c>
      <c r="AF14" s="20">
        <f t="shared" si="9"/>
        <v>0.95199999999999974</v>
      </c>
      <c r="AG14" s="170">
        <f>AF19</f>
        <v>0.96385979805200561</v>
      </c>
    </row>
    <row r="15" spans="1:33" ht="16.5" customHeight="1">
      <c r="A15" s="195" t="s">
        <v>496</v>
      </c>
      <c r="B15" s="4" t="s">
        <v>78</v>
      </c>
      <c r="C15" s="190" t="s">
        <v>89</v>
      </c>
      <c r="D15" s="190"/>
      <c r="E15" s="35">
        <v>50.98</v>
      </c>
      <c r="F15" s="4">
        <v>2336</v>
      </c>
      <c r="G15" s="4">
        <f t="shared" si="15"/>
        <v>119089.28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4">
        <v>16</v>
      </c>
      <c r="M15" s="17">
        <f t="shared" si="16"/>
        <v>1919.9999999999984</v>
      </c>
      <c r="N15" s="16">
        <f t="shared" si="3"/>
        <v>119.9999999999999</v>
      </c>
      <c r="O15" s="18">
        <f t="shared" si="4"/>
        <v>0</v>
      </c>
      <c r="P15" s="19">
        <f t="shared" si="5"/>
        <v>-5.0000000000000995</v>
      </c>
      <c r="Q15" s="20">
        <f t="shared" si="6"/>
        <v>0.95999999999999919</v>
      </c>
      <c r="R15" s="170"/>
      <c r="S15" s="27">
        <v>0.70833333333333337</v>
      </c>
      <c r="T15" s="27">
        <v>0.75902777777777786</v>
      </c>
      <c r="U15" s="4" t="str">
        <f t="shared" ref="U15:U18" si="18">IF(S15=TIME(17,0,0),"",(S15-T14)*24*60)</f>
        <v/>
      </c>
      <c r="V15" s="21">
        <f t="shared" si="17"/>
        <v>73.000000000000057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-80.000000000001592</v>
      </c>
      <c r="AF15" s="20">
        <f t="shared" si="9"/>
        <v>0.95999999999999919</v>
      </c>
      <c r="AG15" s="170"/>
    </row>
    <row r="16" spans="1:33" ht="16.5" customHeight="1">
      <c r="A16" s="195" t="s">
        <v>495</v>
      </c>
      <c r="B16" s="4" t="s">
        <v>78</v>
      </c>
      <c r="C16" s="190" t="s">
        <v>90</v>
      </c>
      <c r="D16" s="190"/>
      <c r="E16" s="35">
        <v>50.92</v>
      </c>
      <c r="F16" s="4">
        <v>1000</v>
      </c>
      <c r="G16" s="4">
        <f t="shared" si="15"/>
        <v>50920</v>
      </c>
      <c r="H16" s="21">
        <v>2</v>
      </c>
      <c r="I16" s="15">
        <v>15</v>
      </c>
      <c r="J16" s="17">
        <v>2000</v>
      </c>
      <c r="K16" s="16">
        <f t="shared" si="1"/>
        <v>133.33333333333334</v>
      </c>
      <c r="L16" s="4">
        <v>15</v>
      </c>
      <c r="M16" s="17">
        <f t="shared" si="16"/>
        <v>1935.483870967739</v>
      </c>
      <c r="N16" s="16">
        <f t="shared" si="3"/>
        <v>129.03225806451593</v>
      </c>
      <c r="O16" s="18">
        <f t="shared" si="4"/>
        <v>0</v>
      </c>
      <c r="P16" s="19">
        <f t="shared" si="5"/>
        <v>-4.3010752688174136</v>
      </c>
      <c r="Q16" s="20">
        <f t="shared" si="6"/>
        <v>0.96774193548386944</v>
      </c>
      <c r="R16" s="170"/>
      <c r="S16" s="27">
        <v>0.76250000000000007</v>
      </c>
      <c r="T16" s="27">
        <v>0.78402777777777788</v>
      </c>
      <c r="U16" s="4">
        <f t="shared" si="18"/>
        <v>4.9999999999999822</v>
      </c>
      <c r="V16" s="21">
        <f t="shared" si="17"/>
        <v>31.00000000000005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-64.516129032261006</v>
      </c>
      <c r="AF16" s="20">
        <f t="shared" si="9"/>
        <v>0.96774193548386944</v>
      </c>
      <c r="AG16" s="170"/>
    </row>
    <row r="17" spans="1:33" ht="16.5" customHeight="1">
      <c r="A17" s="195" t="s">
        <v>495</v>
      </c>
      <c r="B17" s="4" t="s">
        <v>78</v>
      </c>
      <c r="C17" s="190" t="s">
        <v>91</v>
      </c>
      <c r="D17" s="190"/>
      <c r="E17" s="35">
        <v>50.67</v>
      </c>
      <c r="F17" s="4">
        <v>1837</v>
      </c>
      <c r="G17" s="4">
        <f t="shared" si="15"/>
        <v>93080.790000000008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4">
        <v>15</v>
      </c>
      <c r="M17" s="17">
        <f t="shared" si="16"/>
        <v>1933.684210526317</v>
      </c>
      <c r="N17" s="16">
        <f t="shared" si="3"/>
        <v>128.91228070175447</v>
      </c>
      <c r="O17" s="18">
        <f t="shared" si="4"/>
        <v>0</v>
      </c>
      <c r="P17" s="19">
        <f t="shared" si="5"/>
        <v>-4.4210526315788741</v>
      </c>
      <c r="Q17" s="20">
        <f t="shared" si="6"/>
        <v>0.9668421052631585</v>
      </c>
      <c r="R17" s="170"/>
      <c r="S17" s="27">
        <v>0.78958333333333341</v>
      </c>
      <c r="T17" s="27">
        <v>0.82916666666666672</v>
      </c>
      <c r="U17" s="4">
        <f t="shared" si="18"/>
        <v>7.9999999999999716</v>
      </c>
      <c r="V17" s="21">
        <f t="shared" si="17"/>
        <v>56.999999999999957</v>
      </c>
      <c r="W17" s="22">
        <f>T17</f>
        <v>0.82916666666666672</v>
      </c>
      <c r="X17" s="22">
        <f>S18</f>
        <v>0.87083333333333335</v>
      </c>
      <c r="Y17" s="22"/>
      <c r="Z17" s="22"/>
      <c r="AA17" s="162"/>
      <c r="AB17" s="162"/>
      <c r="AC17" s="24"/>
      <c r="AD17" s="24"/>
      <c r="AE17" s="18">
        <f t="shared" si="8"/>
        <v>-66.315789473683026</v>
      </c>
      <c r="AF17" s="20">
        <f t="shared" si="9"/>
        <v>0.9668421052631585</v>
      </c>
      <c r="AG17" s="170"/>
    </row>
    <row r="18" spans="1:33" ht="16.5" customHeight="1">
      <c r="A18" s="195" t="s">
        <v>497</v>
      </c>
      <c r="B18" s="4" t="s">
        <v>78</v>
      </c>
      <c r="C18" s="190" t="s">
        <v>90</v>
      </c>
      <c r="D18" s="190"/>
      <c r="E18" s="35">
        <v>50.92</v>
      </c>
      <c r="F18" s="4">
        <v>1293</v>
      </c>
      <c r="G18" s="4">
        <f t="shared" si="15"/>
        <v>65839.56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4">
        <v>15</v>
      </c>
      <c r="M18" s="17">
        <f t="shared" si="16"/>
        <v>1939.4999999999993</v>
      </c>
      <c r="N18" s="16">
        <f t="shared" si="3"/>
        <v>129.29999999999995</v>
      </c>
      <c r="O18" s="18">
        <f t="shared" si="4"/>
        <v>0</v>
      </c>
      <c r="P18" s="19">
        <f t="shared" si="5"/>
        <v>-4.0333333333333883</v>
      </c>
      <c r="Q18" s="20">
        <f t="shared" si="6"/>
        <v>0.96974999999999956</v>
      </c>
      <c r="R18" s="170"/>
      <c r="S18" s="27">
        <v>0.87083333333333335</v>
      </c>
      <c r="T18" s="27">
        <v>0.89861111111111114</v>
      </c>
      <c r="U18" s="4">
        <f t="shared" si="18"/>
        <v>59.999999999999943</v>
      </c>
      <c r="V18" s="21">
        <f t="shared" si="17"/>
        <v>40.000000000000014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-60.500000000000682</v>
      </c>
      <c r="AF18" s="20">
        <f t="shared" si="9"/>
        <v>0.96974999999999967</v>
      </c>
      <c r="AG18" s="170"/>
    </row>
    <row r="19" spans="1:33" ht="16.5" customHeight="1">
      <c r="A19" s="195" t="s">
        <v>496</v>
      </c>
      <c r="B19" s="35" t="s">
        <v>498</v>
      </c>
      <c r="C19" s="171"/>
      <c r="D19" s="171"/>
      <c r="E19" s="36"/>
      <c r="F19" s="16"/>
      <c r="G19" s="16"/>
      <c r="H19" s="4"/>
      <c r="I19" s="29">
        <v>17.399999999999999</v>
      </c>
      <c r="J19" s="17">
        <v>1900</v>
      </c>
      <c r="K19" s="16">
        <f t="shared" si="1"/>
        <v>109.19540229885058</v>
      </c>
      <c r="L19" s="17">
        <v>17.399999999999999</v>
      </c>
      <c r="M19" s="17">
        <f>AVERAGE(M14:M18)</f>
        <v>1831.3336162988107</v>
      </c>
      <c r="N19" s="16">
        <f t="shared" si="3"/>
        <v>105.24905840797764</v>
      </c>
      <c r="O19" s="18">
        <f t="shared" si="4"/>
        <v>0</v>
      </c>
      <c r="P19" s="19">
        <f t="shared" si="5"/>
        <v>-3.9463438908729387</v>
      </c>
      <c r="Q19" s="20">
        <f t="shared" si="6"/>
        <v>0.96385979805200572</v>
      </c>
      <c r="R19" s="170"/>
      <c r="S19" s="27"/>
      <c r="T19" s="27"/>
      <c r="U19" s="4"/>
      <c r="V19" s="21"/>
      <c r="W19" s="16"/>
      <c r="X19" s="16"/>
      <c r="Y19" s="30">
        <f>SUM(Y14:Y18)</f>
        <v>0</v>
      </c>
      <c r="Z19" s="30">
        <f>SUM(Z14:Z18)</f>
        <v>0</v>
      </c>
      <c r="AA19" s="166"/>
      <c r="AB19" s="166"/>
      <c r="AC19" s="30">
        <f>SUM(AC14:AC18)</f>
        <v>5</v>
      </c>
      <c r="AD19" s="30">
        <f>SUM(AD14:AD18)</f>
        <v>0</v>
      </c>
      <c r="AE19" s="18">
        <f t="shared" si="8"/>
        <v>-68.666383701189261</v>
      </c>
      <c r="AF19" s="20">
        <f t="shared" si="9"/>
        <v>0.96385979805200561</v>
      </c>
      <c r="AG19" s="170"/>
    </row>
    <row r="20" spans="1:33" ht="15.75" customHeight="1">
      <c r="A20" s="192" t="s">
        <v>499</v>
      </c>
      <c r="B20" s="35" t="s">
        <v>78</v>
      </c>
      <c r="C20" s="190" t="s">
        <v>92</v>
      </c>
      <c r="D20" s="190"/>
      <c r="E20" s="35">
        <v>57.73</v>
      </c>
      <c r="F20" s="4">
        <v>1762</v>
      </c>
      <c r="G20" s="4">
        <f t="shared" ref="G20:G25" si="19">E20*F20</f>
        <v>101720.26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4">
        <v>14</v>
      </c>
      <c r="M20" s="17">
        <f t="shared" ref="M20:M25" si="20">F20/V20*60</f>
        <v>1922.181818181818</v>
      </c>
      <c r="N20" s="16">
        <f t="shared" si="3"/>
        <v>137.29870129870127</v>
      </c>
      <c r="O20" s="18">
        <f t="shared" si="4"/>
        <v>0</v>
      </c>
      <c r="P20" s="19">
        <f t="shared" si="5"/>
        <v>-5.5584415584415865</v>
      </c>
      <c r="Q20" s="20">
        <f t="shared" si="6"/>
        <v>0.96109090909090888</v>
      </c>
      <c r="R20" s="170">
        <f>Q26</f>
        <v>0.96159240231227561</v>
      </c>
      <c r="S20" s="27">
        <v>0.20833333333333334</v>
      </c>
      <c r="T20" s="27">
        <v>0.24652777777777779</v>
      </c>
      <c r="U20" s="4"/>
      <c r="V20" s="21">
        <f t="shared" ref="V20:V25" si="21">(T20-S20)*24*60</f>
        <v>55.000000000000007</v>
      </c>
      <c r="W20" s="27"/>
      <c r="X20" s="27"/>
      <c r="Y20" s="27"/>
      <c r="Z20" s="27"/>
      <c r="AA20" s="162"/>
      <c r="AB20" s="162"/>
      <c r="AC20" s="24">
        <v>6</v>
      </c>
      <c r="AD20" s="24"/>
      <c r="AE20" s="18">
        <f t="shared" si="8"/>
        <v>-77.818181818181984</v>
      </c>
      <c r="AF20" s="20">
        <f t="shared" si="9"/>
        <v>0.961090909090909</v>
      </c>
      <c r="AG20" s="170">
        <f>AF26</f>
        <v>0.96159240231227561</v>
      </c>
    </row>
    <row r="21" spans="1:33" ht="15.75" customHeight="1">
      <c r="A21" s="193" t="s">
        <v>500</v>
      </c>
      <c r="B21" s="35" t="s">
        <v>78</v>
      </c>
      <c r="C21" s="190" t="s">
        <v>93</v>
      </c>
      <c r="D21" s="190"/>
      <c r="E21" s="35">
        <v>53.68</v>
      </c>
      <c r="F21" s="4">
        <v>1279</v>
      </c>
      <c r="G21" s="4">
        <f t="shared" si="19"/>
        <v>68656.72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4">
        <v>16</v>
      </c>
      <c r="M21" s="17">
        <f t="shared" si="20"/>
        <v>1918.4999999999993</v>
      </c>
      <c r="N21" s="16">
        <f t="shared" si="3"/>
        <v>119.90624999999996</v>
      </c>
      <c r="O21" s="18">
        <f t="shared" si="4"/>
        <v>0</v>
      </c>
      <c r="P21" s="19">
        <f t="shared" si="5"/>
        <v>-5.0937500000000426</v>
      </c>
      <c r="Q21" s="20">
        <f t="shared" si="6"/>
        <v>0.95924999999999971</v>
      </c>
      <c r="R21" s="170"/>
      <c r="S21" s="27">
        <v>0.25</v>
      </c>
      <c r="T21" s="27">
        <v>0.27777777777777779</v>
      </c>
      <c r="U21" s="4">
        <f t="shared" ref="U21:U25" si="22">IF(S21=TIME(17,0,0),"",(S21-T20)*24*60)</f>
        <v>4.9999999999999822</v>
      </c>
      <c r="V21" s="21">
        <f t="shared" si="21"/>
        <v>40.000000000000014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-81.500000000000682</v>
      </c>
      <c r="AF21" s="20">
        <f t="shared" si="9"/>
        <v>0.95924999999999971</v>
      </c>
      <c r="AG21" s="170"/>
    </row>
    <row r="22" spans="1:33" ht="15.75" customHeight="1">
      <c r="A22" s="193" t="s">
        <v>500</v>
      </c>
      <c r="B22" s="35" t="s">
        <v>78</v>
      </c>
      <c r="C22" s="190" t="s">
        <v>94</v>
      </c>
      <c r="D22" s="190"/>
      <c r="E22" s="35">
        <v>50.49</v>
      </c>
      <c r="F22" s="4">
        <v>2065</v>
      </c>
      <c r="G22" s="4">
        <f t="shared" si="19"/>
        <v>104261.85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4">
        <v>15</v>
      </c>
      <c r="M22" s="17">
        <f t="shared" si="20"/>
        <v>1906.1538461538482</v>
      </c>
      <c r="N22" s="16">
        <f t="shared" si="3"/>
        <v>127.07692307692322</v>
      </c>
      <c r="O22" s="18">
        <f t="shared" si="4"/>
        <v>0</v>
      </c>
      <c r="P22" s="19">
        <f t="shared" si="5"/>
        <v>-6.2564102564101205</v>
      </c>
      <c r="Q22" s="20">
        <f t="shared" si="6"/>
        <v>0.95307692307692415</v>
      </c>
      <c r="R22" s="170"/>
      <c r="S22" s="27">
        <v>0.70833333333333337</v>
      </c>
      <c r="T22" s="27">
        <v>0.75347222222222221</v>
      </c>
      <c r="U22" s="4" t="str">
        <f t="shared" si="22"/>
        <v/>
      </c>
      <c r="V22" s="21">
        <f t="shared" si="21"/>
        <v>64.999999999999929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-93.846153846151765</v>
      </c>
      <c r="AF22" s="20">
        <f t="shared" si="9"/>
        <v>0.95307692307692415</v>
      </c>
      <c r="AG22" s="170"/>
    </row>
    <row r="23" spans="1:33" ht="15.75" customHeight="1">
      <c r="A23" s="193" t="s">
        <v>501</v>
      </c>
      <c r="B23" s="35" t="s">
        <v>78</v>
      </c>
      <c r="C23" s="190" t="s">
        <v>95</v>
      </c>
      <c r="D23" s="190"/>
      <c r="E23" s="35">
        <v>53.68</v>
      </c>
      <c r="F23" s="4">
        <v>800</v>
      </c>
      <c r="G23" s="4">
        <f t="shared" si="19"/>
        <v>42944</v>
      </c>
      <c r="H23" s="21">
        <v>2</v>
      </c>
      <c r="I23" s="15">
        <v>16</v>
      </c>
      <c r="J23" s="17">
        <v>1500</v>
      </c>
      <c r="K23" s="16">
        <f t="shared" si="1"/>
        <v>93.75</v>
      </c>
      <c r="L23" s="4">
        <v>16</v>
      </c>
      <c r="M23" s="17">
        <f t="shared" si="20"/>
        <v>1454.5454545454527</v>
      </c>
      <c r="N23" s="16">
        <f t="shared" si="3"/>
        <v>90.909090909090793</v>
      </c>
      <c r="O23" s="18">
        <f t="shared" si="4"/>
        <v>0</v>
      </c>
      <c r="P23" s="19">
        <f t="shared" si="5"/>
        <v>-2.8409090909092072</v>
      </c>
      <c r="Q23" s="20">
        <f t="shared" si="6"/>
        <v>0.9696969696969685</v>
      </c>
      <c r="R23" s="170"/>
      <c r="S23" s="27">
        <v>0.75694444444444442</v>
      </c>
      <c r="T23" s="27">
        <v>0.77986111111111112</v>
      </c>
      <c r="U23" s="4">
        <f t="shared" si="22"/>
        <v>4.9999999999999822</v>
      </c>
      <c r="V23" s="21">
        <f t="shared" si="21"/>
        <v>33.000000000000043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-45.454545454547315</v>
      </c>
      <c r="AF23" s="20">
        <f t="shared" si="9"/>
        <v>0.9696969696969685</v>
      </c>
      <c r="AG23" s="170"/>
    </row>
    <row r="24" spans="1:33" ht="15.75" customHeight="1">
      <c r="A24" s="193" t="s">
        <v>500</v>
      </c>
      <c r="B24" s="35" t="s">
        <v>78</v>
      </c>
      <c r="C24" s="190" t="s">
        <v>96</v>
      </c>
      <c r="D24" s="190"/>
      <c r="E24" s="35">
        <v>57.3</v>
      </c>
      <c r="F24" s="4">
        <v>1762</v>
      </c>
      <c r="G24" s="4">
        <f t="shared" si="19"/>
        <v>100962.59999999999</v>
      </c>
      <c r="H24" s="21" t="s">
        <v>133</v>
      </c>
      <c r="I24" s="15">
        <v>13</v>
      </c>
      <c r="J24" s="17">
        <v>2000</v>
      </c>
      <c r="K24" s="16">
        <f t="shared" si="1"/>
        <v>153.84615384615384</v>
      </c>
      <c r="L24" s="4">
        <v>13</v>
      </c>
      <c r="M24" s="17">
        <f t="shared" si="20"/>
        <v>1922.1818181818196</v>
      </c>
      <c r="N24" s="16">
        <f t="shared" si="3"/>
        <v>147.86013986013998</v>
      </c>
      <c r="O24" s="18">
        <f t="shared" si="4"/>
        <v>0</v>
      </c>
      <c r="P24" s="19">
        <f t="shared" si="5"/>
        <v>-5.9860139860138588</v>
      </c>
      <c r="Q24" s="20">
        <f t="shared" si="6"/>
        <v>0.96109090909090988</v>
      </c>
      <c r="R24" s="170"/>
      <c r="S24" s="27">
        <v>0.78472222222222221</v>
      </c>
      <c r="T24" s="27">
        <v>0.82291666666666663</v>
      </c>
      <c r="U24" s="4">
        <f t="shared" si="22"/>
        <v>6.9999999999999751</v>
      </c>
      <c r="V24" s="21">
        <f t="shared" si="21"/>
        <v>54.999999999999964</v>
      </c>
      <c r="W24" s="22">
        <f>T24</f>
        <v>0.82291666666666663</v>
      </c>
      <c r="X24" s="22">
        <f>S25</f>
        <v>0.86180555555555549</v>
      </c>
      <c r="Y24" s="4"/>
      <c r="Z24" s="4"/>
      <c r="AA24" s="162"/>
      <c r="AB24" s="162"/>
      <c r="AC24" s="24"/>
      <c r="AD24" s="24"/>
      <c r="AE24" s="18">
        <f t="shared" si="8"/>
        <v>-77.818181818180392</v>
      </c>
      <c r="AF24" s="20">
        <f t="shared" si="9"/>
        <v>0.96109090909090977</v>
      </c>
      <c r="AG24" s="170"/>
    </row>
    <row r="25" spans="1:33" ht="15.75" customHeight="1">
      <c r="A25" s="193" t="s">
        <v>500</v>
      </c>
      <c r="B25" s="35" t="s">
        <v>78</v>
      </c>
      <c r="C25" s="190" t="s">
        <v>95</v>
      </c>
      <c r="D25" s="190"/>
      <c r="E25" s="35">
        <v>53.68</v>
      </c>
      <c r="F25" s="4">
        <v>1042</v>
      </c>
      <c r="G25" s="4">
        <f t="shared" si="19"/>
        <v>55934.559999999998</v>
      </c>
      <c r="H25" s="21" t="s">
        <v>133</v>
      </c>
      <c r="I25" s="15">
        <v>16</v>
      </c>
      <c r="J25" s="17">
        <v>1500</v>
      </c>
      <c r="K25" s="16">
        <f t="shared" si="1"/>
        <v>93.75</v>
      </c>
      <c r="L25" s="4">
        <v>16</v>
      </c>
      <c r="M25" s="17">
        <f t="shared" si="20"/>
        <v>1453.9534883720928</v>
      </c>
      <c r="N25" s="16">
        <f t="shared" si="3"/>
        <v>90.8720930232558</v>
      </c>
      <c r="O25" s="18">
        <f t="shared" si="4"/>
        <v>0</v>
      </c>
      <c r="P25" s="19">
        <f t="shared" si="5"/>
        <v>-2.8779069767441996</v>
      </c>
      <c r="Q25" s="20">
        <f t="shared" si="6"/>
        <v>0.96930232558139517</v>
      </c>
      <c r="R25" s="170"/>
      <c r="S25" s="27">
        <v>0.86180555555555549</v>
      </c>
      <c r="T25" s="27">
        <v>0.89166666666666661</v>
      </c>
      <c r="U25" s="4">
        <f t="shared" si="22"/>
        <v>55.999999999999957</v>
      </c>
      <c r="V25" s="21">
        <f t="shared" si="21"/>
        <v>43.000000000000007</v>
      </c>
      <c r="W25" s="22"/>
      <c r="X25" s="27"/>
      <c r="Y25" s="27"/>
      <c r="Z25" s="27"/>
      <c r="AA25" s="162"/>
      <c r="AB25" s="162"/>
      <c r="AC25" s="24"/>
      <c r="AD25" s="24"/>
      <c r="AE25" s="18">
        <f t="shared" si="8"/>
        <v>-46.046511627907194</v>
      </c>
      <c r="AF25" s="20">
        <f t="shared" si="9"/>
        <v>0.96930232558139517</v>
      </c>
      <c r="AG25" s="170"/>
    </row>
    <row r="26" spans="1:33" ht="15.75" customHeight="1">
      <c r="A26" s="193" t="s">
        <v>501</v>
      </c>
      <c r="B26" s="35" t="s">
        <v>492</v>
      </c>
      <c r="C26" s="171"/>
      <c r="D26" s="171"/>
      <c r="E26" s="36"/>
      <c r="F26" s="4"/>
      <c r="G26" s="4"/>
      <c r="H26" s="4"/>
      <c r="I26" s="29">
        <v>15</v>
      </c>
      <c r="J26" s="17">
        <v>1833.3333333333333</v>
      </c>
      <c r="K26" s="16">
        <f t="shared" si="1"/>
        <v>122.22222222222221</v>
      </c>
      <c r="L26" s="17">
        <v>15</v>
      </c>
      <c r="M26" s="17">
        <f>AVERAGE(M20:M25)</f>
        <v>1762.9194042391719</v>
      </c>
      <c r="N26" s="16">
        <f t="shared" si="3"/>
        <v>117.52796028261146</v>
      </c>
      <c r="O26" s="18">
        <f t="shared" si="4"/>
        <v>0</v>
      </c>
      <c r="P26" s="19">
        <f t="shared" si="5"/>
        <v>-4.6942619396107546</v>
      </c>
      <c r="Q26" s="20">
        <f t="shared" si="6"/>
        <v>0.96159240231227561</v>
      </c>
      <c r="R26" s="170"/>
      <c r="S26" s="27"/>
      <c r="T26" s="27"/>
      <c r="U26" s="16"/>
      <c r="V26" s="21"/>
      <c r="W26" s="16"/>
      <c r="X26" s="16"/>
      <c r="Y26" s="30">
        <f>SUM(Y20:Y25)</f>
        <v>0</v>
      </c>
      <c r="Z26" s="30">
        <f>SUM(Z20:Z25)</f>
        <v>0</v>
      </c>
      <c r="AA26" s="166"/>
      <c r="AB26" s="166"/>
      <c r="AC26" s="30">
        <f>SUM(AC20:AC25)</f>
        <v>6</v>
      </c>
      <c r="AD26" s="30">
        <f>SUM(AD20:AD25)</f>
        <v>0</v>
      </c>
      <c r="AE26" s="18">
        <f t="shared" si="8"/>
        <v>-70.413929094161404</v>
      </c>
      <c r="AF26" s="20">
        <f t="shared" si="9"/>
        <v>0.96159240231227561</v>
      </c>
      <c r="AG26" s="170"/>
    </row>
    <row r="27" spans="1:33" ht="15.75" customHeight="1">
      <c r="A27" s="191" t="s">
        <v>502</v>
      </c>
      <c r="B27" s="35" t="s">
        <v>97</v>
      </c>
      <c r="C27" s="190" t="s">
        <v>98</v>
      </c>
      <c r="D27" s="190"/>
      <c r="E27" s="35">
        <v>31.29</v>
      </c>
      <c r="F27" s="4">
        <v>6000</v>
      </c>
      <c r="G27" s="4">
        <f t="shared" ref="G27:G33" si="23">E27*F27</f>
        <v>187740</v>
      </c>
      <c r="H27" s="21">
        <v>2</v>
      </c>
      <c r="I27" s="15">
        <v>18</v>
      </c>
      <c r="J27" s="17">
        <v>2400</v>
      </c>
      <c r="K27" s="16">
        <f t="shared" si="1"/>
        <v>133.33333333333334</v>
      </c>
      <c r="L27" s="4">
        <v>18</v>
      </c>
      <c r="M27" s="17">
        <f t="shared" ref="M27:M33" si="24">F27/V27*60</f>
        <v>2292.993630573249</v>
      </c>
      <c r="N27" s="16">
        <f t="shared" si="3"/>
        <v>127.38853503184717</v>
      </c>
      <c r="O27" s="18">
        <f t="shared" si="4"/>
        <v>0</v>
      </c>
      <c r="P27" s="19">
        <f t="shared" si="5"/>
        <v>-5.9447983014861734</v>
      </c>
      <c r="Q27" s="20">
        <f t="shared" si="6"/>
        <v>0.95541401273885374</v>
      </c>
      <c r="R27" s="170">
        <f>Q34</f>
        <v>0.95865203185791592</v>
      </c>
      <c r="S27" s="27">
        <v>8.3333333333333329E-2</v>
      </c>
      <c r="T27" s="27">
        <v>0.19236111111111109</v>
      </c>
      <c r="U27" s="4"/>
      <c r="V27" s="21">
        <f t="shared" ref="V27:V33" si="25">(T27-S27)*24*60</f>
        <v>156.99999999999997</v>
      </c>
      <c r="W27" s="22">
        <f>T27</f>
        <v>0.19236111111111109</v>
      </c>
      <c r="X27" s="22">
        <f>S28</f>
        <v>0.21249999999999999</v>
      </c>
      <c r="Y27" s="22"/>
      <c r="Z27" s="22"/>
      <c r="AA27" s="162"/>
      <c r="AB27" s="162"/>
      <c r="AC27" s="24">
        <v>7</v>
      </c>
      <c r="AD27" s="24"/>
      <c r="AE27" s="18">
        <f t="shared" si="8"/>
        <v>-107.00636942675101</v>
      </c>
      <c r="AF27" s="20">
        <f t="shared" si="9"/>
        <v>0.95541401273885374</v>
      </c>
      <c r="AG27" s="170">
        <f>AF34</f>
        <v>0.95865203185791581</v>
      </c>
    </row>
    <row r="28" spans="1:33" ht="15.75" customHeight="1">
      <c r="A28" s="191" t="s">
        <v>502</v>
      </c>
      <c r="B28" s="35" t="s">
        <v>97</v>
      </c>
      <c r="C28" s="190" t="s">
        <v>99</v>
      </c>
      <c r="D28" s="190"/>
      <c r="E28" s="35">
        <v>25.98</v>
      </c>
      <c r="F28" s="4">
        <v>3042</v>
      </c>
      <c r="G28" s="4">
        <f t="shared" si="23"/>
        <v>79031.16</v>
      </c>
      <c r="H28" s="21" t="s">
        <v>133</v>
      </c>
      <c r="I28" s="15">
        <v>21</v>
      </c>
      <c r="J28" s="17">
        <v>2400</v>
      </c>
      <c r="K28" s="16">
        <f t="shared" si="1"/>
        <v>114.28571428571429</v>
      </c>
      <c r="L28" s="4">
        <v>21</v>
      </c>
      <c r="M28" s="17">
        <f t="shared" si="24"/>
        <v>2310.3797468354433</v>
      </c>
      <c r="N28" s="16">
        <f t="shared" si="3"/>
        <v>110.01808318264015</v>
      </c>
      <c r="O28" s="18">
        <f t="shared" si="4"/>
        <v>0</v>
      </c>
      <c r="P28" s="19">
        <f t="shared" si="5"/>
        <v>-4.2676311030741374</v>
      </c>
      <c r="Q28" s="20">
        <f t="shared" si="6"/>
        <v>0.96265822784810129</v>
      </c>
      <c r="R28" s="170"/>
      <c r="S28" s="27">
        <v>0.21249999999999999</v>
      </c>
      <c r="T28" s="27">
        <v>0.2673611111111111</v>
      </c>
      <c r="U28" s="4">
        <f t="shared" ref="U28:U33" si="26">(S28-T27)*24*60</f>
        <v>29.000000000000018</v>
      </c>
      <c r="V28" s="21">
        <f t="shared" si="25"/>
        <v>79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-89.620253164556743</v>
      </c>
      <c r="AF28" s="20">
        <f t="shared" si="9"/>
        <v>0.9626582278481014</v>
      </c>
      <c r="AG28" s="170"/>
    </row>
    <row r="29" spans="1:33" ht="15.75" customHeight="1">
      <c r="A29" s="191" t="s">
        <v>502</v>
      </c>
      <c r="B29" s="35" t="s">
        <v>97</v>
      </c>
      <c r="C29" s="190" t="s">
        <v>100</v>
      </c>
      <c r="D29" s="190"/>
      <c r="E29" s="35">
        <v>26.2</v>
      </c>
      <c r="F29" s="4">
        <v>3000</v>
      </c>
      <c r="G29" s="4">
        <f t="shared" si="23"/>
        <v>78600</v>
      </c>
      <c r="H29" s="21">
        <v>2</v>
      </c>
      <c r="I29" s="15">
        <v>20</v>
      </c>
      <c r="J29" s="17">
        <v>2400</v>
      </c>
      <c r="K29" s="16">
        <f t="shared" si="1"/>
        <v>120</v>
      </c>
      <c r="L29" s="4">
        <v>20</v>
      </c>
      <c r="M29" s="17">
        <f t="shared" si="24"/>
        <v>2307.692307692309</v>
      </c>
      <c r="N29" s="16">
        <f t="shared" si="3"/>
        <v>115.38461538461544</v>
      </c>
      <c r="O29" s="18">
        <f t="shared" si="4"/>
        <v>0</v>
      </c>
      <c r="P29" s="19">
        <f t="shared" si="5"/>
        <v>-4.6153846153845564</v>
      </c>
      <c r="Q29" s="20">
        <f t="shared" si="6"/>
        <v>0.96153846153846201</v>
      </c>
      <c r="R29" s="170"/>
      <c r="S29" s="27">
        <v>0.27152777777777776</v>
      </c>
      <c r="T29" s="27">
        <v>0.3256944444444444</v>
      </c>
      <c r="U29" s="4">
        <f t="shared" si="26"/>
        <v>5.9999999999999787</v>
      </c>
      <c r="V29" s="21">
        <f t="shared" si="25"/>
        <v>77.999999999999957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-92.307692307691013</v>
      </c>
      <c r="AF29" s="20">
        <f t="shared" si="9"/>
        <v>0.96153846153846212</v>
      </c>
      <c r="AG29" s="170"/>
    </row>
    <row r="30" spans="1:33" ht="15.75" customHeight="1">
      <c r="A30" s="191" t="s">
        <v>502</v>
      </c>
      <c r="B30" s="35" t="s">
        <v>97</v>
      </c>
      <c r="C30" s="190" t="s">
        <v>101</v>
      </c>
      <c r="D30" s="190"/>
      <c r="E30" s="35">
        <v>25.99</v>
      </c>
      <c r="F30" s="4">
        <v>4117</v>
      </c>
      <c r="G30" s="4">
        <f t="shared" si="23"/>
        <v>107000.82999999999</v>
      </c>
      <c r="H30" s="21" t="s">
        <v>133</v>
      </c>
      <c r="I30" s="15">
        <v>14</v>
      </c>
      <c r="J30" s="17">
        <v>2400</v>
      </c>
      <c r="K30" s="16">
        <f t="shared" si="1"/>
        <v>171.42857142857142</v>
      </c>
      <c r="L30" s="4">
        <v>14</v>
      </c>
      <c r="M30" s="17">
        <f t="shared" si="24"/>
        <v>2287.2222222222222</v>
      </c>
      <c r="N30" s="16">
        <f t="shared" si="3"/>
        <v>163.37301587301587</v>
      </c>
      <c r="O30" s="18">
        <f t="shared" si="4"/>
        <v>0</v>
      </c>
      <c r="P30" s="19">
        <f t="shared" si="5"/>
        <v>-8.0555555555555429</v>
      </c>
      <c r="Q30" s="20">
        <f t="shared" si="6"/>
        <v>0.95300925925925928</v>
      </c>
      <c r="R30" s="170"/>
      <c r="S30" s="27">
        <v>0.32916666666666661</v>
      </c>
      <c r="T30" s="27">
        <v>0.40416666666666662</v>
      </c>
      <c r="U30" s="4">
        <f t="shared" si="26"/>
        <v>4.9999999999999822</v>
      </c>
      <c r="V30" s="21">
        <f t="shared" si="25"/>
        <v>108.00000000000001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-112.77777777777783</v>
      </c>
      <c r="AF30" s="20">
        <f t="shared" si="9"/>
        <v>0.95300925925925928</v>
      </c>
      <c r="AG30" s="170"/>
    </row>
    <row r="31" spans="1:33" ht="15.75" customHeight="1">
      <c r="A31" s="191" t="s">
        <v>502</v>
      </c>
      <c r="B31" s="35" t="s">
        <v>97</v>
      </c>
      <c r="C31" s="190" t="s">
        <v>102</v>
      </c>
      <c r="D31" s="190"/>
      <c r="E31" s="35">
        <v>26.18</v>
      </c>
      <c r="F31" s="4">
        <v>1957</v>
      </c>
      <c r="G31" s="4">
        <f t="shared" si="23"/>
        <v>51234.26</v>
      </c>
      <c r="H31" s="21" t="s">
        <v>133</v>
      </c>
      <c r="I31" s="15">
        <v>19</v>
      </c>
      <c r="J31" s="17">
        <v>2400</v>
      </c>
      <c r="K31" s="16">
        <f t="shared" si="1"/>
        <v>126.31578947368421</v>
      </c>
      <c r="L31" s="4">
        <v>19</v>
      </c>
      <c r="M31" s="17">
        <f t="shared" si="24"/>
        <v>2302.3529411764716</v>
      </c>
      <c r="N31" s="16">
        <f t="shared" si="3"/>
        <v>121.17647058823535</v>
      </c>
      <c r="O31" s="18">
        <f t="shared" si="4"/>
        <v>0</v>
      </c>
      <c r="P31" s="19">
        <f t="shared" si="5"/>
        <v>-5.1393188854488585</v>
      </c>
      <c r="Q31" s="20">
        <f t="shared" si="6"/>
        <v>0.95931372549019656</v>
      </c>
      <c r="R31" s="170"/>
      <c r="S31" s="27">
        <v>0.40833333333333327</v>
      </c>
      <c r="T31" s="27">
        <v>0.44374999999999992</v>
      </c>
      <c r="U31" s="4">
        <f t="shared" si="26"/>
        <v>5.9999999999999787</v>
      </c>
      <c r="V31" s="21">
        <f t="shared" si="25"/>
        <v>50.999999999999979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-97.647058823528369</v>
      </c>
      <c r="AF31" s="20">
        <f t="shared" si="9"/>
        <v>0.95931372549019656</v>
      </c>
      <c r="AG31" s="170"/>
    </row>
    <row r="32" spans="1:33" ht="15.75" customHeight="1">
      <c r="A32" s="191" t="s">
        <v>502</v>
      </c>
      <c r="B32" s="35" t="s">
        <v>97</v>
      </c>
      <c r="C32" s="190" t="s">
        <v>106</v>
      </c>
      <c r="D32" s="190"/>
      <c r="E32" s="35">
        <v>20.21</v>
      </c>
      <c r="F32" s="4">
        <v>2981</v>
      </c>
      <c r="G32" s="4">
        <f t="shared" si="23"/>
        <v>60246.01</v>
      </c>
      <c r="H32" s="21" t="s">
        <v>133</v>
      </c>
      <c r="I32" s="15">
        <v>15</v>
      </c>
      <c r="J32" s="17">
        <v>2400</v>
      </c>
      <c r="K32" s="16">
        <f t="shared" si="1"/>
        <v>160</v>
      </c>
      <c r="L32" s="4">
        <v>15</v>
      </c>
      <c r="M32" s="17">
        <f t="shared" si="24"/>
        <v>2293.0769230769242</v>
      </c>
      <c r="N32" s="16">
        <f t="shared" si="3"/>
        <v>152.87179487179495</v>
      </c>
      <c r="O32" s="18">
        <f t="shared" si="4"/>
        <v>0</v>
      </c>
      <c r="P32" s="19">
        <f t="shared" si="5"/>
        <v>-7.1282051282050531</v>
      </c>
      <c r="Q32" s="20">
        <f t="shared" si="6"/>
        <v>0.95544871794871844</v>
      </c>
      <c r="R32" s="170"/>
      <c r="S32" s="27">
        <v>0.44861111111111102</v>
      </c>
      <c r="T32" s="27">
        <v>0.50277777777777766</v>
      </c>
      <c r="U32" s="4">
        <f t="shared" si="26"/>
        <v>6.9999999999999751</v>
      </c>
      <c r="V32" s="21">
        <f t="shared" si="25"/>
        <v>77.999999999999957</v>
      </c>
      <c r="W32" s="22">
        <f>T32</f>
        <v>0.50277777777777766</v>
      </c>
      <c r="X32" s="22">
        <f>S33</f>
        <v>0.54236111111111096</v>
      </c>
      <c r="Y32" s="22"/>
      <c r="Z32" s="22"/>
      <c r="AA32" s="162"/>
      <c r="AB32" s="162"/>
      <c r="AC32" s="24"/>
      <c r="AD32" s="24"/>
      <c r="AE32" s="18">
        <f t="shared" si="8"/>
        <v>-106.92307692307577</v>
      </c>
      <c r="AF32" s="20">
        <f t="shared" si="9"/>
        <v>0.95544871794871844</v>
      </c>
      <c r="AG32" s="170"/>
    </row>
    <row r="33" spans="1:33" ht="15.75" customHeight="1">
      <c r="A33" s="191" t="s">
        <v>502</v>
      </c>
      <c r="B33" s="35" t="s">
        <v>97</v>
      </c>
      <c r="C33" s="190" t="s">
        <v>100</v>
      </c>
      <c r="D33" s="190"/>
      <c r="E33" s="35">
        <v>26.2</v>
      </c>
      <c r="F33" s="4">
        <v>2119</v>
      </c>
      <c r="G33" s="4">
        <f t="shared" si="23"/>
        <v>55517.799999999996</v>
      </c>
      <c r="H33" s="21" t="s">
        <v>133</v>
      </c>
      <c r="I33" s="15">
        <v>20</v>
      </c>
      <c r="J33" s="17">
        <v>2400</v>
      </c>
      <c r="K33" s="16">
        <f t="shared" si="1"/>
        <v>120</v>
      </c>
      <c r="L33" s="4">
        <v>20</v>
      </c>
      <c r="M33" s="17">
        <f t="shared" si="24"/>
        <v>2311.6363636363653</v>
      </c>
      <c r="N33" s="16">
        <f t="shared" si="3"/>
        <v>115.58181818181826</v>
      </c>
      <c r="O33" s="18">
        <f t="shared" si="4"/>
        <v>0</v>
      </c>
      <c r="P33" s="19">
        <f t="shared" si="5"/>
        <v>-4.4181818181817363</v>
      </c>
      <c r="Q33" s="20">
        <f t="shared" si="6"/>
        <v>0.96318181818181892</v>
      </c>
      <c r="R33" s="170"/>
      <c r="S33" s="27">
        <v>0.54236111111111096</v>
      </c>
      <c r="T33" s="27">
        <v>0.58055555555555538</v>
      </c>
      <c r="U33" s="4">
        <f t="shared" si="26"/>
        <v>56.999999999999957</v>
      </c>
      <c r="V33" s="21">
        <f t="shared" si="25"/>
        <v>54.999999999999964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-88.363636363634669</v>
      </c>
      <c r="AF33" s="20">
        <f t="shared" si="9"/>
        <v>0.96318181818181892</v>
      </c>
      <c r="AG33" s="170"/>
    </row>
    <row r="34" spans="1:33" ht="15.75" customHeight="1">
      <c r="A34" s="191" t="s">
        <v>502</v>
      </c>
      <c r="B34" s="35" t="s">
        <v>503</v>
      </c>
      <c r="C34" s="171"/>
      <c r="D34" s="171"/>
      <c r="E34" s="36"/>
      <c r="F34" s="4"/>
      <c r="G34" s="4"/>
      <c r="H34" s="4"/>
      <c r="I34" s="29">
        <v>18.142857142857142</v>
      </c>
      <c r="J34" s="17">
        <v>2400</v>
      </c>
      <c r="K34" s="16">
        <f t="shared" si="1"/>
        <v>132.28346456692913</v>
      </c>
      <c r="L34" s="17">
        <v>18.142857142857142</v>
      </c>
      <c r="M34" s="17">
        <f>AVERAGE(M27:M33)</f>
        <v>2300.7648764589981</v>
      </c>
      <c r="N34" s="16">
        <f t="shared" si="3"/>
        <v>126.81381208829123</v>
      </c>
      <c r="O34" s="18">
        <f t="shared" si="4"/>
        <v>0</v>
      </c>
      <c r="P34" s="19">
        <f t="shared" si="5"/>
        <v>-5.4696524786378973</v>
      </c>
      <c r="Q34" s="20">
        <f t="shared" si="6"/>
        <v>0.95865203185791592</v>
      </c>
      <c r="R34" s="170"/>
      <c r="S34" s="27"/>
      <c r="T34" s="27"/>
      <c r="U34" s="4"/>
      <c r="V34" s="21"/>
      <c r="W34" s="4"/>
      <c r="X34" s="4"/>
      <c r="Y34" s="30">
        <f>SUM(Y27:Y33)</f>
        <v>0</v>
      </c>
      <c r="Z34" s="30">
        <f>SUM(Z27:Z33)</f>
        <v>0</v>
      </c>
      <c r="AA34" s="166"/>
      <c r="AB34" s="166"/>
      <c r="AC34" s="30">
        <f>SUM(AC27:AC33)</f>
        <v>7</v>
      </c>
      <c r="AD34" s="30">
        <f>SUM(AD27:AD33)</f>
        <v>0</v>
      </c>
      <c r="AE34" s="18">
        <f t="shared" si="8"/>
        <v>-99.23512354100194</v>
      </c>
      <c r="AF34" s="20">
        <f t="shared" si="9"/>
        <v>0.95865203185791581</v>
      </c>
      <c r="AG34" s="170"/>
    </row>
    <row r="35" spans="1:33" ht="15.75" customHeight="1">
      <c r="A35" s="188" t="s">
        <v>504</v>
      </c>
      <c r="B35" s="35" t="s">
        <v>97</v>
      </c>
      <c r="C35" s="163" t="s">
        <v>103</v>
      </c>
      <c r="D35" s="163"/>
      <c r="E35" s="35">
        <v>26.2</v>
      </c>
      <c r="F35" s="4">
        <v>3800</v>
      </c>
      <c r="G35" s="4">
        <f t="shared" ref="G35:G41" si="27">E35*F35</f>
        <v>99560</v>
      </c>
      <c r="H35" s="21">
        <v>2</v>
      </c>
      <c r="I35" s="15">
        <v>18</v>
      </c>
      <c r="J35" s="17">
        <v>2400</v>
      </c>
      <c r="K35" s="16">
        <f t="shared" si="1"/>
        <v>133.33333333333334</v>
      </c>
      <c r="L35" s="4">
        <v>18</v>
      </c>
      <c r="M35" s="17">
        <f t="shared" ref="M35:M41" si="28">F35/V35*60</f>
        <v>2279.9999999999995</v>
      </c>
      <c r="N35" s="16">
        <f t="shared" si="3"/>
        <v>126.66666666666664</v>
      </c>
      <c r="O35" s="18">
        <f t="shared" si="4"/>
        <v>0</v>
      </c>
      <c r="P35" s="19">
        <f t="shared" si="5"/>
        <v>-6.6666666666666998</v>
      </c>
      <c r="Q35" s="20">
        <f t="shared" si="6"/>
        <v>0.94999999999999973</v>
      </c>
      <c r="R35" s="170">
        <f>Q42</f>
        <v>0.9578015030473338</v>
      </c>
      <c r="S35" s="27">
        <v>8.3333333333333329E-2</v>
      </c>
      <c r="T35" s="27">
        <v>0.15277777777777779</v>
      </c>
      <c r="U35" s="4"/>
      <c r="V35" s="21">
        <f t="shared" ref="V35:V41" si="29">(T35-S35)*24*60</f>
        <v>100.00000000000001</v>
      </c>
      <c r="W35" s="27"/>
      <c r="X35" s="27"/>
      <c r="Y35" s="27"/>
      <c r="Z35" s="27"/>
      <c r="AA35" s="162"/>
      <c r="AB35" s="162"/>
      <c r="AC35" s="24">
        <v>7</v>
      </c>
      <c r="AD35" s="24"/>
      <c r="AE35" s="18">
        <f t="shared" si="8"/>
        <v>-120.00000000000045</v>
      </c>
      <c r="AF35" s="20">
        <f t="shared" si="9"/>
        <v>0.94999999999999984</v>
      </c>
      <c r="AG35" s="170">
        <f>AF42</f>
        <v>0.95780150304733391</v>
      </c>
    </row>
    <row r="36" spans="1:33" ht="15.75" customHeight="1">
      <c r="A36" s="188" t="s">
        <v>504</v>
      </c>
      <c r="B36" s="35" t="s">
        <v>97</v>
      </c>
      <c r="C36" s="163" t="s">
        <v>304</v>
      </c>
      <c r="D36" s="163"/>
      <c r="E36" s="35">
        <v>21.68</v>
      </c>
      <c r="F36" s="4">
        <v>4400</v>
      </c>
      <c r="G36" s="4">
        <f t="shared" si="27"/>
        <v>95392</v>
      </c>
      <c r="H36" s="21">
        <v>2</v>
      </c>
      <c r="I36" s="15">
        <v>15</v>
      </c>
      <c r="J36" s="17">
        <v>2400</v>
      </c>
      <c r="K36" s="16">
        <f t="shared" si="1"/>
        <v>160</v>
      </c>
      <c r="L36" s="4">
        <v>15</v>
      </c>
      <c r="M36" s="17">
        <f t="shared" si="28"/>
        <v>2295.652173913043</v>
      </c>
      <c r="N36" s="16">
        <f t="shared" si="3"/>
        <v>153.04347826086953</v>
      </c>
      <c r="O36" s="18">
        <f t="shared" si="4"/>
        <v>0</v>
      </c>
      <c r="P36" s="19">
        <f t="shared" si="5"/>
        <v>-6.9565217391304657</v>
      </c>
      <c r="Q36" s="20">
        <f t="shared" si="6"/>
        <v>0.95652173913043459</v>
      </c>
      <c r="R36" s="170"/>
      <c r="S36" s="27">
        <v>0.15833333333333335</v>
      </c>
      <c r="T36" s="27">
        <v>0.23819444444444449</v>
      </c>
      <c r="U36" s="4">
        <f t="shared" ref="U36:U41" si="30">(S36-T35)*24*60</f>
        <v>8.0000000000000107</v>
      </c>
      <c r="V36" s="21">
        <f t="shared" si="29"/>
        <v>115.00000000000003</v>
      </c>
      <c r="W36" s="27">
        <f>T36</f>
        <v>0.23819444444444449</v>
      </c>
      <c r="X36" s="27">
        <f>S37</f>
        <v>0.25694444444444448</v>
      </c>
      <c r="Y36" s="4"/>
      <c r="Z36" s="4"/>
      <c r="AA36" s="162"/>
      <c r="AB36" s="162"/>
      <c r="AC36" s="24"/>
      <c r="AD36" s="24"/>
      <c r="AE36" s="18">
        <f t="shared" si="8"/>
        <v>-104.34782608695696</v>
      </c>
      <c r="AF36" s="20">
        <f t="shared" si="9"/>
        <v>0.95652173913043459</v>
      </c>
      <c r="AG36" s="170"/>
    </row>
    <row r="37" spans="1:33">
      <c r="A37" s="189" t="s">
        <v>504</v>
      </c>
      <c r="B37" s="35" t="s">
        <v>97</v>
      </c>
      <c r="C37" s="163" t="s">
        <v>104</v>
      </c>
      <c r="D37" s="163"/>
      <c r="E37" s="35">
        <v>20.52</v>
      </c>
      <c r="F37" s="4">
        <v>3829</v>
      </c>
      <c r="G37" s="4">
        <f t="shared" si="27"/>
        <v>78571.08</v>
      </c>
      <c r="H37" s="21" t="s">
        <v>133</v>
      </c>
      <c r="I37" s="15">
        <v>18</v>
      </c>
      <c r="J37" s="17">
        <v>2400</v>
      </c>
      <c r="K37" s="16">
        <f t="shared" si="1"/>
        <v>133.33333333333334</v>
      </c>
      <c r="L37" s="4">
        <v>18</v>
      </c>
      <c r="M37" s="17">
        <f t="shared" si="28"/>
        <v>2297.3999999999992</v>
      </c>
      <c r="N37" s="16">
        <f t="shared" si="3"/>
        <v>127.63333333333328</v>
      </c>
      <c r="O37" s="18">
        <f t="shared" si="4"/>
        <v>0</v>
      </c>
      <c r="P37" s="19">
        <f t="shared" si="5"/>
        <v>-5.7000000000000597</v>
      </c>
      <c r="Q37" s="20">
        <f t="shared" si="6"/>
        <v>0.9572499999999996</v>
      </c>
      <c r="R37" s="170"/>
      <c r="S37" s="27">
        <v>0.25694444444444448</v>
      </c>
      <c r="T37" s="27">
        <v>0.32638888888888895</v>
      </c>
      <c r="U37" s="4">
        <f t="shared" si="30"/>
        <v>26.999999999999986</v>
      </c>
      <c r="V37" s="21">
        <f t="shared" si="29"/>
        <v>100.00000000000004</v>
      </c>
      <c r="W37" s="4"/>
      <c r="X37" s="4"/>
      <c r="Y37" s="4"/>
      <c r="Z37" s="4"/>
      <c r="AA37" s="162"/>
      <c r="AB37" s="162"/>
      <c r="AC37" s="24"/>
      <c r="AD37" s="24"/>
      <c r="AE37" s="18">
        <f t="shared" si="8"/>
        <v>-102.60000000000082</v>
      </c>
      <c r="AF37" s="20">
        <f t="shared" si="9"/>
        <v>0.95724999999999971</v>
      </c>
      <c r="AG37" s="170"/>
    </row>
    <row r="38" spans="1:33">
      <c r="A38" s="189" t="s">
        <v>504</v>
      </c>
      <c r="B38" s="35" t="s">
        <v>97</v>
      </c>
      <c r="C38" s="163" t="s">
        <v>105</v>
      </c>
      <c r="D38" s="163"/>
      <c r="E38" s="35">
        <v>26.39</v>
      </c>
      <c r="F38" s="4">
        <v>5576</v>
      </c>
      <c r="G38" s="4">
        <f t="shared" si="27"/>
        <v>147150.64000000001</v>
      </c>
      <c r="H38" s="21" t="s">
        <v>133</v>
      </c>
      <c r="I38" s="15">
        <v>19</v>
      </c>
      <c r="J38" s="17">
        <v>2400</v>
      </c>
      <c r="K38" s="16">
        <f t="shared" si="1"/>
        <v>126.31578947368421</v>
      </c>
      <c r="L38" s="4">
        <v>19</v>
      </c>
      <c r="M38" s="17">
        <f t="shared" si="28"/>
        <v>2291.5068493150688</v>
      </c>
      <c r="N38" s="16">
        <f t="shared" si="3"/>
        <v>120.60562364816151</v>
      </c>
      <c r="O38" s="18">
        <f t="shared" si="4"/>
        <v>0</v>
      </c>
      <c r="P38" s="19">
        <f t="shared" si="5"/>
        <v>-5.7101658255226937</v>
      </c>
      <c r="Q38" s="20">
        <f t="shared" si="6"/>
        <v>0.95479452054794534</v>
      </c>
      <c r="R38" s="170"/>
      <c r="S38" s="27">
        <v>0.32986111111111116</v>
      </c>
      <c r="T38" s="27">
        <v>0.43125000000000002</v>
      </c>
      <c r="U38" s="4">
        <f t="shared" si="30"/>
        <v>4.9999999999999822</v>
      </c>
      <c r="V38" s="21">
        <f t="shared" si="29"/>
        <v>145.99999999999997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-108.49315068493115</v>
      </c>
      <c r="AF38" s="20">
        <f t="shared" si="9"/>
        <v>0.95479452054794534</v>
      </c>
      <c r="AG38" s="170"/>
    </row>
    <row r="39" spans="1:33">
      <c r="A39" s="189" t="s">
        <v>504</v>
      </c>
      <c r="B39" s="35" t="s">
        <v>97</v>
      </c>
      <c r="C39" s="163" t="s">
        <v>107</v>
      </c>
      <c r="D39" s="163"/>
      <c r="E39" s="35">
        <v>20.52</v>
      </c>
      <c r="F39" s="4">
        <v>2871</v>
      </c>
      <c r="G39" s="4">
        <f t="shared" si="27"/>
        <v>58912.92</v>
      </c>
      <c r="H39" s="21" t="s">
        <v>133</v>
      </c>
      <c r="I39" s="15">
        <v>18</v>
      </c>
      <c r="J39" s="17">
        <v>2400</v>
      </c>
      <c r="K39" s="16">
        <f t="shared" si="1"/>
        <v>133.33333333333334</v>
      </c>
      <c r="L39" s="4">
        <v>18</v>
      </c>
      <c r="M39" s="17">
        <f t="shared" si="28"/>
        <v>2296.8000000000011</v>
      </c>
      <c r="N39" s="16">
        <f t="shared" si="3"/>
        <v>127.60000000000007</v>
      </c>
      <c r="O39" s="18">
        <f t="shared" si="4"/>
        <v>0</v>
      </c>
      <c r="P39" s="19">
        <f t="shared" si="5"/>
        <v>-5.7333333333332774</v>
      </c>
      <c r="Q39" s="20">
        <f t="shared" si="6"/>
        <v>0.95700000000000041</v>
      </c>
      <c r="R39" s="170"/>
      <c r="S39" s="27">
        <v>0.43541666666666667</v>
      </c>
      <c r="T39" s="27">
        <v>0.48749999999999999</v>
      </c>
      <c r="U39" s="4">
        <f t="shared" si="30"/>
        <v>5.9999999999999787</v>
      </c>
      <c r="V39" s="21">
        <f t="shared" si="29"/>
        <v>74.999999999999972</v>
      </c>
      <c r="W39" s="22">
        <f>T39</f>
        <v>0.48749999999999999</v>
      </c>
      <c r="X39" s="22">
        <f>S40</f>
        <v>0.52986111111111112</v>
      </c>
      <c r="Y39" s="22"/>
      <c r="Z39" s="22"/>
      <c r="AA39" s="162"/>
      <c r="AB39" s="162"/>
      <c r="AC39" s="24"/>
      <c r="AD39" s="24"/>
      <c r="AE39" s="18">
        <f t="shared" si="8"/>
        <v>-103.19999999999891</v>
      </c>
      <c r="AF39" s="20">
        <f t="shared" si="9"/>
        <v>0.95700000000000041</v>
      </c>
      <c r="AG39" s="170"/>
    </row>
    <row r="40" spans="1:33">
      <c r="A40" s="189" t="s">
        <v>504</v>
      </c>
      <c r="B40" s="35" t="s">
        <v>97</v>
      </c>
      <c r="C40" s="163" t="s">
        <v>103</v>
      </c>
      <c r="D40" s="163"/>
      <c r="E40" s="35">
        <v>26.2</v>
      </c>
      <c r="F40" s="4">
        <v>2663</v>
      </c>
      <c r="G40" s="4">
        <f t="shared" si="27"/>
        <v>69770.599999999991</v>
      </c>
      <c r="H40" s="21" t="s">
        <v>133</v>
      </c>
      <c r="I40" s="15">
        <v>18</v>
      </c>
      <c r="J40" s="17">
        <v>2400</v>
      </c>
      <c r="K40" s="16">
        <f t="shared" si="1"/>
        <v>133.33333333333334</v>
      </c>
      <c r="L40" s="4">
        <v>18</v>
      </c>
      <c r="M40" s="17">
        <f t="shared" si="28"/>
        <v>2315.6521739130462</v>
      </c>
      <c r="N40" s="16">
        <f t="shared" si="3"/>
        <v>128.64734299516923</v>
      </c>
      <c r="O40" s="18">
        <f t="shared" si="4"/>
        <v>0</v>
      </c>
      <c r="P40" s="19">
        <f t="shared" si="5"/>
        <v>-4.6859903381641175</v>
      </c>
      <c r="Q40" s="20">
        <f t="shared" si="6"/>
        <v>0.96485507246376911</v>
      </c>
      <c r="R40" s="170"/>
      <c r="S40" s="27">
        <v>0.52986111111111112</v>
      </c>
      <c r="T40" s="27">
        <v>0.57777777777777772</v>
      </c>
      <c r="U40" s="4">
        <f t="shared" si="30"/>
        <v>61.000000000000021</v>
      </c>
      <c r="V40" s="21">
        <f t="shared" si="29"/>
        <v>68.999999999999915</v>
      </c>
      <c r="W40" s="22"/>
      <c r="X40" s="22"/>
      <c r="Y40" s="22"/>
      <c r="Z40" s="22"/>
      <c r="AA40" s="162"/>
      <c r="AB40" s="162"/>
      <c r="AC40" s="24"/>
      <c r="AD40" s="24"/>
      <c r="AE40" s="18">
        <f t="shared" si="8"/>
        <v>-84.347826086953773</v>
      </c>
      <c r="AF40" s="20">
        <f t="shared" si="9"/>
        <v>0.96485507246376923</v>
      </c>
      <c r="AG40" s="170"/>
    </row>
    <row r="41" spans="1:33">
      <c r="A41" s="189" t="s">
        <v>504</v>
      </c>
      <c r="B41" s="35" t="s">
        <v>97</v>
      </c>
      <c r="C41" s="163" t="s">
        <v>304</v>
      </c>
      <c r="D41" s="163"/>
      <c r="E41" s="35">
        <v>21.68</v>
      </c>
      <c r="F41" s="4">
        <v>2854</v>
      </c>
      <c r="G41" s="4">
        <f t="shared" si="27"/>
        <v>61874.720000000001</v>
      </c>
      <c r="H41" s="21" t="s">
        <v>133</v>
      </c>
      <c r="I41" s="15">
        <v>15</v>
      </c>
      <c r="J41" s="17">
        <v>2400</v>
      </c>
      <c r="K41" s="16">
        <f t="shared" si="1"/>
        <v>160</v>
      </c>
      <c r="L41" s="4">
        <v>15</v>
      </c>
      <c r="M41" s="17">
        <f t="shared" si="28"/>
        <v>2314.0540540540524</v>
      </c>
      <c r="N41" s="16">
        <f t="shared" si="3"/>
        <v>154.27027027027015</v>
      </c>
      <c r="O41" s="18">
        <f t="shared" si="4"/>
        <v>0</v>
      </c>
      <c r="P41" s="19">
        <f t="shared" si="5"/>
        <v>-5.7297297297298542</v>
      </c>
      <c r="Q41" s="20">
        <f t="shared" si="6"/>
        <v>0.96418918918918839</v>
      </c>
      <c r="R41" s="170"/>
      <c r="S41" s="27">
        <v>0.58124999999999993</v>
      </c>
      <c r="T41" s="27">
        <v>0.63263888888888886</v>
      </c>
      <c r="U41" s="4">
        <f t="shared" si="30"/>
        <v>4.9999999999999822</v>
      </c>
      <c r="V41" s="21">
        <f t="shared" si="29"/>
        <v>74.000000000000057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-85.945945945947642</v>
      </c>
      <c r="AF41" s="20">
        <f t="shared" si="9"/>
        <v>0.9641891891891885</v>
      </c>
      <c r="AG41" s="170"/>
    </row>
    <row r="42" spans="1:33">
      <c r="A42" s="189" t="s">
        <v>504</v>
      </c>
      <c r="B42" s="16" t="s">
        <v>503</v>
      </c>
      <c r="C42" s="171"/>
      <c r="D42" s="171"/>
      <c r="E42" s="36"/>
      <c r="F42" s="16"/>
      <c r="G42" s="16"/>
      <c r="H42" s="4"/>
      <c r="I42" s="29">
        <v>17.285714285714285</v>
      </c>
      <c r="J42" s="17">
        <v>2400</v>
      </c>
      <c r="K42" s="16">
        <f t="shared" si="1"/>
        <v>138.84297520661158</v>
      </c>
      <c r="L42" s="17">
        <v>17.285714285714285</v>
      </c>
      <c r="M42" s="17">
        <f>AVERAGE(M35:M41)</f>
        <v>2298.7236073136014</v>
      </c>
      <c r="N42" s="16">
        <f t="shared" si="3"/>
        <v>132.98401034045628</v>
      </c>
      <c r="O42" s="18">
        <f t="shared" si="4"/>
        <v>0</v>
      </c>
      <c r="P42" s="19">
        <f t="shared" si="5"/>
        <v>-5.8589648661553042</v>
      </c>
      <c r="Q42" s="20">
        <f t="shared" si="6"/>
        <v>0.9578015030473338</v>
      </c>
      <c r="R42" s="170"/>
      <c r="S42" s="27"/>
      <c r="T42" s="27"/>
      <c r="U42" s="16"/>
      <c r="V42" s="21"/>
      <c r="W42" s="16"/>
      <c r="X42" s="16"/>
      <c r="Y42" s="30">
        <f>SUM(Y35:Y41)</f>
        <v>0</v>
      </c>
      <c r="Z42" s="30">
        <f>SUM(Z35:Z41)</f>
        <v>0</v>
      </c>
      <c r="AA42" s="166"/>
      <c r="AB42" s="166"/>
      <c r="AC42" s="30">
        <f>SUM(AC35:AC41)</f>
        <v>7</v>
      </c>
      <c r="AD42" s="30">
        <f>SUM(AD35:AD41)</f>
        <v>0</v>
      </c>
      <c r="AE42" s="18">
        <f t="shared" si="8"/>
        <v>-101.27639268639859</v>
      </c>
      <c r="AF42" s="20">
        <f t="shared" si="9"/>
        <v>0.95780150304733391</v>
      </c>
      <c r="AG42" s="170"/>
    </row>
    <row r="43" spans="1:33" ht="15.75" customHeight="1">
      <c r="A43" s="182" t="s">
        <v>505</v>
      </c>
      <c r="B43" s="35" t="s">
        <v>108</v>
      </c>
      <c r="C43" s="174" t="s">
        <v>109</v>
      </c>
      <c r="D43" s="175"/>
      <c r="E43" s="35">
        <v>34.36</v>
      </c>
      <c r="F43" s="4">
        <v>2187</v>
      </c>
      <c r="G43" s="4">
        <f t="shared" ref="G43:G48" si="31">E43*F43</f>
        <v>75145.319999999992</v>
      </c>
      <c r="H43" s="21" t="s">
        <v>133</v>
      </c>
      <c r="I43" s="15">
        <v>10</v>
      </c>
      <c r="J43" s="17">
        <v>3000</v>
      </c>
      <c r="K43" s="16">
        <f t="shared" si="1"/>
        <v>300</v>
      </c>
      <c r="L43" s="4">
        <v>10</v>
      </c>
      <c r="M43" s="17">
        <f t="shared" ref="M43:M48" si="32">F43/V43*60</f>
        <v>2852.6086956521731</v>
      </c>
      <c r="N43" s="17">
        <f t="shared" si="3"/>
        <v>285.26086956521732</v>
      </c>
      <c r="O43" s="18">
        <f t="shared" si="4"/>
        <v>0</v>
      </c>
      <c r="P43" s="19">
        <f t="shared" si="5"/>
        <v>-14.73913043478268</v>
      </c>
      <c r="Q43" s="20">
        <f t="shared" si="6"/>
        <v>0.95086956521739108</v>
      </c>
      <c r="R43" s="185">
        <f>Q49</f>
        <v>0.9563872543792612</v>
      </c>
      <c r="S43" s="27">
        <v>8.3333333333333329E-2</v>
      </c>
      <c r="T43" s="27">
        <v>0.11527777777777778</v>
      </c>
      <c r="U43" s="27"/>
      <c r="V43" s="21">
        <f t="shared" ref="V43:V48" si="33">(T43-S43)*24*60</f>
        <v>46.000000000000014</v>
      </c>
      <c r="W43" s="22"/>
      <c r="X43" s="22"/>
      <c r="Y43" s="25"/>
      <c r="Z43" s="25"/>
      <c r="AA43" s="176"/>
      <c r="AB43" s="177"/>
      <c r="AC43" s="24">
        <v>6</v>
      </c>
      <c r="AD43" s="24"/>
      <c r="AE43" s="18">
        <f t="shared" si="8"/>
        <v>-147.39130434782692</v>
      </c>
      <c r="AF43" s="20">
        <f t="shared" si="9"/>
        <v>0.95086956521739108</v>
      </c>
      <c r="AG43" s="185">
        <f>AF49</f>
        <v>0.9563872543792612</v>
      </c>
    </row>
    <row r="44" spans="1:33" ht="15.75" customHeight="1">
      <c r="A44" s="183" t="s">
        <v>505</v>
      </c>
      <c r="B44" s="35" t="s">
        <v>108</v>
      </c>
      <c r="C44" s="174" t="s">
        <v>110</v>
      </c>
      <c r="D44" s="175"/>
      <c r="E44" s="35">
        <v>26.78</v>
      </c>
      <c r="F44" s="4">
        <v>2687</v>
      </c>
      <c r="G44" s="4">
        <f t="shared" si="31"/>
        <v>71957.86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4">
        <v>10</v>
      </c>
      <c r="M44" s="17">
        <f t="shared" si="32"/>
        <v>2878.9285714285725</v>
      </c>
      <c r="N44" s="17">
        <f t="shared" si="3"/>
        <v>287.89285714285722</v>
      </c>
      <c r="O44" s="18">
        <f t="shared" si="4"/>
        <v>0</v>
      </c>
      <c r="P44" s="19">
        <f t="shared" si="5"/>
        <v>-12.107142857142776</v>
      </c>
      <c r="Q44" s="20">
        <f t="shared" si="6"/>
        <v>0.95964285714285746</v>
      </c>
      <c r="R44" s="186"/>
      <c r="S44" s="27">
        <v>0.12083333333333333</v>
      </c>
      <c r="T44" s="27">
        <v>0.15972222222222221</v>
      </c>
      <c r="U44" s="4">
        <f t="shared" ref="U44:U48" si="34">(S44-T43)*24*60</f>
        <v>7.9999999999999911</v>
      </c>
      <c r="V44" s="21">
        <f t="shared" si="33"/>
        <v>55.999999999999979</v>
      </c>
      <c r="W44" s="22">
        <f>T44</f>
        <v>0.15972222222222221</v>
      </c>
      <c r="X44" s="22">
        <f>S45</f>
        <v>0.17777777777777776</v>
      </c>
      <c r="Y44" s="25"/>
      <c r="Z44" s="25"/>
      <c r="AA44" s="176"/>
      <c r="AB44" s="177"/>
      <c r="AC44" s="24"/>
      <c r="AD44" s="24"/>
      <c r="AE44" s="18">
        <f t="shared" si="8"/>
        <v>-121.07142857142753</v>
      </c>
      <c r="AF44" s="20">
        <f t="shared" si="9"/>
        <v>0.95964285714285746</v>
      </c>
      <c r="AG44" s="186"/>
    </row>
    <row r="45" spans="1:33" ht="15.75" customHeight="1">
      <c r="A45" s="183" t="s">
        <v>505</v>
      </c>
      <c r="B45" s="35" t="s">
        <v>108</v>
      </c>
      <c r="C45" s="174" t="s">
        <v>111</v>
      </c>
      <c r="D45" s="175"/>
      <c r="E45" s="35">
        <v>21.13</v>
      </c>
      <c r="F45" s="4">
        <v>4822</v>
      </c>
      <c r="G45" s="4">
        <f t="shared" si="31"/>
        <v>101888.86</v>
      </c>
      <c r="H45" s="21" t="s">
        <v>133</v>
      </c>
      <c r="I45" s="15">
        <v>10</v>
      </c>
      <c r="J45" s="17">
        <v>3000</v>
      </c>
      <c r="K45" s="16">
        <f t="shared" si="1"/>
        <v>300</v>
      </c>
      <c r="L45" s="4">
        <v>10</v>
      </c>
      <c r="M45" s="17">
        <f t="shared" si="32"/>
        <v>2864.5544554455446</v>
      </c>
      <c r="N45" s="17">
        <f t="shared" si="3"/>
        <v>286.45544554455444</v>
      </c>
      <c r="O45" s="18">
        <f t="shared" si="4"/>
        <v>0</v>
      </c>
      <c r="P45" s="19">
        <f t="shared" si="5"/>
        <v>-13.544554455445564</v>
      </c>
      <c r="Q45" s="20">
        <f t="shared" si="6"/>
        <v>0.95485148514851481</v>
      </c>
      <c r="R45" s="186"/>
      <c r="S45" s="27">
        <v>0.17777777777777776</v>
      </c>
      <c r="T45" s="27">
        <v>0.24791666666666665</v>
      </c>
      <c r="U45" s="4">
        <f t="shared" si="34"/>
        <v>25.999999999999986</v>
      </c>
      <c r="V45" s="21">
        <f t="shared" si="33"/>
        <v>101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-135.44554455445541</v>
      </c>
      <c r="AF45" s="20">
        <f t="shared" si="9"/>
        <v>0.95485148514851481</v>
      </c>
      <c r="AG45" s="186"/>
    </row>
    <row r="46" spans="1:33" ht="15.75" customHeight="1">
      <c r="A46" s="183" t="s">
        <v>505</v>
      </c>
      <c r="B46" s="35" t="s">
        <v>108</v>
      </c>
      <c r="C46" s="174" t="s">
        <v>112</v>
      </c>
      <c r="D46" s="175"/>
      <c r="E46" s="35">
        <v>27.17</v>
      </c>
      <c r="F46" s="4">
        <v>6534</v>
      </c>
      <c r="G46" s="4">
        <f t="shared" si="31"/>
        <v>177528.78</v>
      </c>
      <c r="H46" s="21" t="s">
        <v>133</v>
      </c>
      <c r="I46" s="15">
        <v>10</v>
      </c>
      <c r="J46" s="17">
        <v>3000</v>
      </c>
      <c r="K46" s="16">
        <f t="shared" si="1"/>
        <v>300</v>
      </c>
      <c r="L46" s="4">
        <v>10</v>
      </c>
      <c r="M46" s="17">
        <f t="shared" si="32"/>
        <v>2861.6058394160582</v>
      </c>
      <c r="N46" s="17">
        <f t="shared" si="3"/>
        <v>286.16058394160581</v>
      </c>
      <c r="O46" s="18">
        <f t="shared" si="4"/>
        <v>0</v>
      </c>
      <c r="P46" s="19">
        <f t="shared" si="5"/>
        <v>-13.839416058394193</v>
      </c>
      <c r="Q46" s="20">
        <f t="shared" si="6"/>
        <v>0.95386861313868598</v>
      </c>
      <c r="R46" s="186"/>
      <c r="S46" s="27">
        <v>0.25347222222222221</v>
      </c>
      <c r="T46" s="27">
        <v>0.34861111111111109</v>
      </c>
      <c r="U46" s="4">
        <f t="shared" si="34"/>
        <v>8.0000000000000107</v>
      </c>
      <c r="V46" s="21">
        <f t="shared" si="33"/>
        <v>137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-138.39416058394181</v>
      </c>
      <c r="AF46" s="20">
        <f t="shared" si="9"/>
        <v>0.95386861313868609</v>
      </c>
      <c r="AG46" s="186"/>
    </row>
    <row r="47" spans="1:33" ht="15.75" customHeight="1">
      <c r="A47" s="183" t="s">
        <v>505</v>
      </c>
      <c r="B47" s="35" t="s">
        <v>108</v>
      </c>
      <c r="C47" s="174" t="s">
        <v>305</v>
      </c>
      <c r="D47" s="175"/>
      <c r="E47" s="35">
        <v>27.03</v>
      </c>
      <c r="F47" s="4">
        <v>6172</v>
      </c>
      <c r="G47" s="4">
        <f t="shared" si="31"/>
        <v>166829.16</v>
      </c>
      <c r="H47" s="21" t="s">
        <v>133</v>
      </c>
      <c r="I47" s="15">
        <v>8</v>
      </c>
      <c r="J47" s="17">
        <v>3000</v>
      </c>
      <c r="K47" s="16">
        <f t="shared" si="1"/>
        <v>375</v>
      </c>
      <c r="L47" s="4">
        <v>8</v>
      </c>
      <c r="M47" s="17">
        <f t="shared" si="32"/>
        <v>2870.697674418604</v>
      </c>
      <c r="N47" s="17">
        <f t="shared" si="3"/>
        <v>358.8372093023255</v>
      </c>
      <c r="O47" s="18">
        <f t="shared" si="4"/>
        <v>0</v>
      </c>
      <c r="P47" s="19">
        <f t="shared" si="5"/>
        <v>-16.162790697674495</v>
      </c>
      <c r="Q47" s="20">
        <f t="shared" si="6"/>
        <v>0.95689922480620138</v>
      </c>
      <c r="R47" s="186"/>
      <c r="S47" s="27">
        <v>0.35347222222222219</v>
      </c>
      <c r="T47" s="27">
        <v>0.44305555555555554</v>
      </c>
      <c r="U47" s="4">
        <f t="shared" si="34"/>
        <v>6.9999999999999751</v>
      </c>
      <c r="V47" s="21">
        <f t="shared" si="33"/>
        <v>129.00000000000003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-129.30232558139596</v>
      </c>
      <c r="AF47" s="20">
        <f t="shared" si="9"/>
        <v>0.95689922480620138</v>
      </c>
      <c r="AG47" s="186"/>
    </row>
    <row r="48" spans="1:33" ht="15.75" customHeight="1">
      <c r="A48" s="183" t="s">
        <v>505</v>
      </c>
      <c r="B48" s="35" t="s">
        <v>108</v>
      </c>
      <c r="C48" s="174" t="s">
        <v>113</v>
      </c>
      <c r="D48" s="175"/>
      <c r="E48" s="35">
        <v>35.869999999999997</v>
      </c>
      <c r="F48" s="4">
        <v>3512</v>
      </c>
      <c r="G48" s="4">
        <f t="shared" si="31"/>
        <v>125975.43999999999</v>
      </c>
      <c r="H48" s="21" t="s">
        <v>133</v>
      </c>
      <c r="I48" s="15">
        <v>9</v>
      </c>
      <c r="J48" s="17">
        <v>3000</v>
      </c>
      <c r="K48" s="16">
        <f t="shared" si="1"/>
        <v>333.33333333333331</v>
      </c>
      <c r="L48" s="4">
        <v>9</v>
      </c>
      <c r="M48" s="17">
        <f t="shared" si="32"/>
        <v>2886.5753424657541</v>
      </c>
      <c r="N48" s="17">
        <f t="shared" si="3"/>
        <v>320.73059360730599</v>
      </c>
      <c r="O48" s="18">
        <f t="shared" si="4"/>
        <v>0</v>
      </c>
      <c r="P48" s="19">
        <f t="shared" si="5"/>
        <v>-12.602739726027323</v>
      </c>
      <c r="Q48" s="20">
        <f t="shared" si="6"/>
        <v>0.96219178082191803</v>
      </c>
      <c r="R48" s="186"/>
      <c r="S48" s="27">
        <v>0.44861111111111107</v>
      </c>
      <c r="T48" s="27">
        <v>0.4993055555555555</v>
      </c>
      <c r="U48" s="4">
        <f t="shared" si="34"/>
        <v>7.9999999999999716</v>
      </c>
      <c r="V48" s="21">
        <f t="shared" si="33"/>
        <v>72.999999999999986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-113.42465753424585</v>
      </c>
      <c r="AF48" s="20">
        <f t="shared" si="9"/>
        <v>0.96219178082191803</v>
      </c>
      <c r="AG48" s="186"/>
    </row>
    <row r="49" spans="1:33" ht="15.75" customHeight="1">
      <c r="A49" s="184" t="s">
        <v>505</v>
      </c>
      <c r="B49" s="35" t="s">
        <v>503</v>
      </c>
      <c r="C49" s="164"/>
      <c r="D49" s="165"/>
      <c r="E49" s="37"/>
      <c r="F49" s="4"/>
      <c r="G49" s="4"/>
      <c r="H49" s="4"/>
      <c r="I49" s="29">
        <v>9.5</v>
      </c>
      <c r="J49" s="17">
        <v>3000</v>
      </c>
      <c r="K49" s="16">
        <f t="shared" si="1"/>
        <v>315.78947368421052</v>
      </c>
      <c r="L49" s="17">
        <v>9.5</v>
      </c>
      <c r="M49" s="17">
        <f>AVERAGE(M43:M48)</f>
        <v>2869.1617631377835</v>
      </c>
      <c r="N49" s="16">
        <f t="shared" si="3"/>
        <v>302.01702769871406</v>
      </c>
      <c r="O49" s="18">
        <f t="shared" si="4"/>
        <v>0</v>
      </c>
      <c r="P49" s="19">
        <f t="shared" si="5"/>
        <v>-13.772445985496461</v>
      </c>
      <c r="Q49" s="20">
        <f t="shared" si="6"/>
        <v>0.9563872543792612</v>
      </c>
      <c r="R49" s="187"/>
      <c r="S49" s="27"/>
      <c r="T49" s="27"/>
      <c r="U49" s="4"/>
      <c r="V49" s="21"/>
      <c r="W49" s="22"/>
      <c r="X49" s="22"/>
      <c r="Y49" s="30">
        <f>SUM(Y43:Y48)</f>
        <v>0</v>
      </c>
      <c r="Z49" s="30">
        <f>SUM(Z43:Z48)</f>
        <v>0</v>
      </c>
      <c r="AA49" s="180"/>
      <c r="AB49" s="181"/>
      <c r="AC49" s="30">
        <f>SUM(AC43:AC48)</f>
        <v>6</v>
      </c>
      <c r="AD49" s="30">
        <f>SUM(AD43:AD48)</f>
        <v>0</v>
      </c>
      <c r="AE49" s="18">
        <f t="shared" si="8"/>
        <v>-130.83823686221649</v>
      </c>
      <c r="AF49" s="20">
        <f t="shared" si="9"/>
        <v>0.9563872543792612</v>
      </c>
      <c r="AG49" s="187"/>
    </row>
    <row r="50" spans="1:33" ht="15.75" customHeight="1">
      <c r="A50" s="178" t="s">
        <v>506</v>
      </c>
      <c r="B50" s="35" t="s">
        <v>84</v>
      </c>
      <c r="C50" s="163" t="s">
        <v>114</v>
      </c>
      <c r="D50" s="163"/>
      <c r="E50" s="35">
        <v>46</v>
      </c>
      <c r="F50" s="38">
        <v>2280</v>
      </c>
      <c r="G50" s="4">
        <f t="shared" ref="G50:G58" si="35">E50*F50</f>
        <v>104880</v>
      </c>
      <c r="H50" s="21" t="s">
        <v>133</v>
      </c>
      <c r="I50" s="15">
        <v>17</v>
      </c>
      <c r="J50" s="17">
        <v>2000</v>
      </c>
      <c r="K50" s="16">
        <f t="shared" si="1"/>
        <v>117.64705882352941</v>
      </c>
      <c r="L50" s="4">
        <v>17</v>
      </c>
      <c r="M50" s="17">
        <f t="shared" ref="M50:M58" si="36">F50/V50*60</f>
        <v>1926.7605633802809</v>
      </c>
      <c r="N50" s="17">
        <f t="shared" si="3"/>
        <v>113.3388566694283</v>
      </c>
      <c r="O50" s="18">
        <f t="shared" si="4"/>
        <v>0</v>
      </c>
      <c r="P50" s="19">
        <f t="shared" si="5"/>
        <v>-4.3082021541011102</v>
      </c>
      <c r="Q50" s="20">
        <f t="shared" si="6"/>
        <v>0.96338028169014056</v>
      </c>
      <c r="R50" s="170">
        <f>Q59</f>
        <v>0.95283091295931022</v>
      </c>
      <c r="S50" s="27">
        <v>0.20833333333333334</v>
      </c>
      <c r="T50" s="27">
        <v>0.25763888888888892</v>
      </c>
      <c r="U50" s="27"/>
      <c r="V50" s="21">
        <f t="shared" ref="V50:V58" si="37">(T50-S50)*24*60</f>
        <v>71.000000000000028</v>
      </c>
      <c r="W50" s="27"/>
      <c r="X50" s="27"/>
      <c r="Y50" s="27"/>
      <c r="Z50" s="27"/>
      <c r="AA50" s="162"/>
      <c r="AB50" s="162"/>
      <c r="AC50" s="24">
        <v>9</v>
      </c>
      <c r="AD50" s="24"/>
      <c r="AE50" s="18">
        <f t="shared" si="8"/>
        <v>-73.239436619719072</v>
      </c>
      <c r="AF50" s="20">
        <f t="shared" si="9"/>
        <v>0.96338028169014045</v>
      </c>
      <c r="AG50" s="170">
        <f>AF59</f>
        <v>0.95283091295931022</v>
      </c>
    </row>
    <row r="51" spans="1:33" ht="15.75" customHeight="1">
      <c r="A51" s="178" t="s">
        <v>506</v>
      </c>
      <c r="B51" s="35" t="s">
        <v>78</v>
      </c>
      <c r="C51" s="163" t="s">
        <v>115</v>
      </c>
      <c r="D51" s="163"/>
      <c r="E51" s="35">
        <v>56.43</v>
      </c>
      <c r="F51" s="38">
        <v>1584</v>
      </c>
      <c r="G51" s="4">
        <f t="shared" si="35"/>
        <v>89385.12</v>
      </c>
      <c r="H51" s="21" t="s">
        <v>133</v>
      </c>
      <c r="I51" s="15">
        <v>22</v>
      </c>
      <c r="J51" s="17">
        <v>2000</v>
      </c>
      <c r="K51" s="16">
        <f t="shared" si="1"/>
        <v>90.909090909090907</v>
      </c>
      <c r="L51" s="4">
        <v>22</v>
      </c>
      <c r="M51" s="17">
        <f t="shared" si="36"/>
        <v>1827.6923076923088</v>
      </c>
      <c r="N51" s="17">
        <f t="shared" si="3"/>
        <v>83.076923076923123</v>
      </c>
      <c r="O51" s="18">
        <f t="shared" si="4"/>
        <v>0</v>
      </c>
      <c r="P51" s="19">
        <f t="shared" si="5"/>
        <v>-7.8321678321677837</v>
      </c>
      <c r="Q51" s="20">
        <f t="shared" si="6"/>
        <v>0.91384615384615442</v>
      </c>
      <c r="R51" s="170"/>
      <c r="S51" s="27">
        <v>0.26319444444444445</v>
      </c>
      <c r="T51" s="27">
        <v>0.29930555555555555</v>
      </c>
      <c r="U51" s="4">
        <f t="shared" ref="U51:U58" si="38">IF(S51=TIME(17,0,0),"",(S51-T50)*24*60)</f>
        <v>7.9999999999999716</v>
      </c>
      <c r="V51" s="21">
        <f t="shared" si="37"/>
        <v>51.999999999999972</v>
      </c>
      <c r="W51" s="22"/>
      <c r="X51" s="22"/>
      <c r="Y51" s="22"/>
      <c r="Z51" s="22"/>
      <c r="AA51" s="162"/>
      <c r="AB51" s="162"/>
      <c r="AC51" s="24"/>
      <c r="AD51" s="24"/>
      <c r="AE51" s="18">
        <f t="shared" si="8"/>
        <v>-172.30769230769124</v>
      </c>
      <c r="AF51" s="20">
        <f t="shared" si="9"/>
        <v>0.91384615384615442</v>
      </c>
      <c r="AG51" s="170"/>
    </row>
    <row r="52" spans="1:33" ht="15.75" customHeight="1">
      <c r="A52" s="178" t="s">
        <v>506</v>
      </c>
      <c r="B52" s="35" t="s">
        <v>78</v>
      </c>
      <c r="C52" s="174" t="s">
        <v>116</v>
      </c>
      <c r="D52" s="175"/>
      <c r="E52" s="35">
        <v>51.75</v>
      </c>
      <c r="F52" s="38">
        <v>1204</v>
      </c>
      <c r="G52" s="4">
        <f t="shared" si="35"/>
        <v>62307</v>
      </c>
      <c r="H52" s="21" t="s">
        <v>133</v>
      </c>
      <c r="I52" s="15">
        <v>25</v>
      </c>
      <c r="J52" s="17">
        <v>2000</v>
      </c>
      <c r="K52" s="16">
        <f t="shared" si="1"/>
        <v>80</v>
      </c>
      <c r="L52" s="4">
        <v>25</v>
      </c>
      <c r="M52" s="17">
        <f t="shared" si="36"/>
        <v>1952.4324324324311</v>
      </c>
      <c r="N52" s="17">
        <f t="shared" si="3"/>
        <v>78.097297297297246</v>
      </c>
      <c r="O52" s="18">
        <f t="shared" si="4"/>
        <v>0</v>
      </c>
      <c r="P52" s="19">
        <f t="shared" si="5"/>
        <v>-1.9027027027027543</v>
      </c>
      <c r="Q52" s="20">
        <f t="shared" si="6"/>
        <v>0.97621621621621557</v>
      </c>
      <c r="R52" s="170"/>
      <c r="S52" s="27">
        <v>0.30277777777777776</v>
      </c>
      <c r="T52" s="27">
        <v>0.32847222222222222</v>
      </c>
      <c r="U52" s="4">
        <f t="shared" si="38"/>
        <v>4.9999999999999822</v>
      </c>
      <c r="V52" s="21">
        <f t="shared" si="37"/>
        <v>37.000000000000028</v>
      </c>
      <c r="W52" s="22"/>
      <c r="X52" s="22"/>
      <c r="Y52" s="25"/>
      <c r="Z52" s="25"/>
      <c r="AA52" s="162"/>
      <c r="AB52" s="162"/>
      <c r="AC52" s="24"/>
      <c r="AD52" s="24"/>
      <c r="AE52" s="18">
        <f t="shared" si="8"/>
        <v>-47.567567567568858</v>
      </c>
      <c r="AF52" s="20">
        <f t="shared" si="9"/>
        <v>0.97621621621621557</v>
      </c>
      <c r="AG52" s="170"/>
    </row>
    <row r="53" spans="1:33" ht="15.75" customHeight="1">
      <c r="A53" s="178" t="s">
        <v>506</v>
      </c>
      <c r="B53" s="35" t="s">
        <v>78</v>
      </c>
      <c r="C53" s="39" t="s">
        <v>117</v>
      </c>
      <c r="D53" s="40"/>
      <c r="E53" s="35">
        <v>54.09</v>
      </c>
      <c r="F53" s="38">
        <v>1461</v>
      </c>
      <c r="G53" s="4">
        <f t="shared" si="35"/>
        <v>79025.490000000005</v>
      </c>
      <c r="H53" s="21" t="s">
        <v>133</v>
      </c>
      <c r="I53" s="15">
        <v>19</v>
      </c>
      <c r="J53" s="17">
        <v>2000</v>
      </c>
      <c r="K53" s="16">
        <f t="shared" si="1"/>
        <v>105.26315789473684</v>
      </c>
      <c r="L53" s="4">
        <v>19</v>
      </c>
      <c r="M53" s="17">
        <f t="shared" si="36"/>
        <v>1826.2500000000007</v>
      </c>
      <c r="N53" s="17">
        <f t="shared" si="3"/>
        <v>96.118421052631618</v>
      </c>
      <c r="O53" s="18">
        <f t="shared" si="4"/>
        <v>0</v>
      </c>
      <c r="P53" s="19">
        <f t="shared" si="5"/>
        <v>-9.1447368421052175</v>
      </c>
      <c r="Q53" s="20">
        <f t="shared" si="6"/>
        <v>0.91312500000000041</v>
      </c>
      <c r="R53" s="170"/>
      <c r="S53" s="27">
        <v>0.33333333333333331</v>
      </c>
      <c r="T53" s="27">
        <v>0.36666666666666664</v>
      </c>
      <c r="U53" s="4">
        <f t="shared" si="38"/>
        <v>6.9999999999999751</v>
      </c>
      <c r="V53" s="21">
        <f t="shared" si="37"/>
        <v>47.999999999999986</v>
      </c>
      <c r="W53" s="22"/>
      <c r="X53" s="22"/>
      <c r="Y53" s="25"/>
      <c r="Z53" s="25"/>
      <c r="AA53" s="162"/>
      <c r="AB53" s="162"/>
      <c r="AC53" s="24"/>
      <c r="AD53" s="24"/>
      <c r="AE53" s="18">
        <f t="shared" si="8"/>
        <v>-173.74999999999932</v>
      </c>
      <c r="AF53" s="20">
        <f t="shared" si="9"/>
        <v>0.9131250000000003</v>
      </c>
      <c r="AG53" s="170"/>
    </row>
    <row r="54" spans="1:33" ht="15.75" customHeight="1">
      <c r="A54" s="178" t="s">
        <v>506</v>
      </c>
      <c r="B54" s="35" t="s">
        <v>78</v>
      </c>
      <c r="C54" s="39" t="s">
        <v>118</v>
      </c>
      <c r="D54" s="40"/>
      <c r="E54" s="35">
        <v>57.73</v>
      </c>
      <c r="F54" s="38">
        <v>1273</v>
      </c>
      <c r="G54" s="4">
        <f t="shared" si="35"/>
        <v>73490.289999999994</v>
      </c>
      <c r="H54" s="21" t="s">
        <v>133</v>
      </c>
      <c r="I54" s="15">
        <v>16</v>
      </c>
      <c r="J54" s="17">
        <v>1500</v>
      </c>
      <c r="K54" s="16">
        <f t="shared" si="1"/>
        <v>93.75</v>
      </c>
      <c r="L54" s="4">
        <v>16</v>
      </c>
      <c r="M54" s="17">
        <f t="shared" si="36"/>
        <v>1441.132075471699</v>
      </c>
      <c r="N54" s="17">
        <f t="shared" si="3"/>
        <v>90.070754716981185</v>
      </c>
      <c r="O54" s="18">
        <f t="shared" si="4"/>
        <v>0</v>
      </c>
      <c r="P54" s="19">
        <f t="shared" si="5"/>
        <v>-3.6792452830188154</v>
      </c>
      <c r="Q54" s="20">
        <f t="shared" si="6"/>
        <v>0.96075471698113268</v>
      </c>
      <c r="R54" s="170"/>
      <c r="S54" s="27">
        <v>0.70833333333333337</v>
      </c>
      <c r="T54" s="27">
        <v>0.74513888888888891</v>
      </c>
      <c r="U54" s="4" t="str">
        <f t="shared" si="38"/>
        <v/>
      </c>
      <c r="V54" s="21">
        <f t="shared" si="37"/>
        <v>52.999999999999972</v>
      </c>
      <c r="W54" s="22"/>
      <c r="X54" s="22"/>
      <c r="Y54" s="25"/>
      <c r="Z54" s="25"/>
      <c r="AA54" s="162"/>
      <c r="AB54" s="162"/>
      <c r="AC54" s="24"/>
      <c r="AD54" s="24"/>
      <c r="AE54" s="18">
        <f t="shared" si="8"/>
        <v>-58.867924528301046</v>
      </c>
      <c r="AF54" s="20">
        <f t="shared" si="9"/>
        <v>0.96075471698113268</v>
      </c>
      <c r="AG54" s="170"/>
    </row>
    <row r="55" spans="1:33" ht="15.75" customHeight="1">
      <c r="A55" s="178" t="s">
        <v>506</v>
      </c>
      <c r="B55" s="35" t="s">
        <v>78</v>
      </c>
      <c r="C55" s="174" t="s">
        <v>119</v>
      </c>
      <c r="D55" s="175"/>
      <c r="E55" s="35">
        <v>54.29</v>
      </c>
      <c r="F55" s="38">
        <v>1369</v>
      </c>
      <c r="G55" s="4">
        <f t="shared" si="35"/>
        <v>74323.009999999995</v>
      </c>
      <c r="H55" s="21" t="s">
        <v>133</v>
      </c>
      <c r="I55" s="15">
        <v>20</v>
      </c>
      <c r="J55" s="17">
        <v>2000</v>
      </c>
      <c r="K55" s="16">
        <f t="shared" si="1"/>
        <v>100</v>
      </c>
      <c r="L55" s="4">
        <v>20</v>
      </c>
      <c r="M55" s="17">
        <f t="shared" si="36"/>
        <v>1910.2325581395346</v>
      </c>
      <c r="N55" s="17">
        <f t="shared" si="3"/>
        <v>95.511627906976727</v>
      </c>
      <c r="O55" s="18">
        <f t="shared" si="4"/>
        <v>0</v>
      </c>
      <c r="P55" s="19">
        <f t="shared" si="5"/>
        <v>-4.4883720930232727</v>
      </c>
      <c r="Q55" s="20">
        <f t="shared" si="6"/>
        <v>0.95511627906976726</v>
      </c>
      <c r="R55" s="170"/>
      <c r="S55" s="27">
        <v>0.74861111111111112</v>
      </c>
      <c r="T55" s="27">
        <v>0.77847222222222223</v>
      </c>
      <c r="U55" s="4">
        <f t="shared" si="38"/>
        <v>4.9999999999999822</v>
      </c>
      <c r="V55" s="21">
        <f t="shared" si="37"/>
        <v>43.000000000000007</v>
      </c>
      <c r="W55" s="22"/>
      <c r="X55" s="22"/>
      <c r="Y55" s="25"/>
      <c r="Z55" s="25"/>
      <c r="AA55" s="176"/>
      <c r="AB55" s="177"/>
      <c r="AC55" s="24"/>
      <c r="AD55" s="24"/>
      <c r="AE55" s="18">
        <f t="shared" si="8"/>
        <v>-89.767441860465397</v>
      </c>
      <c r="AF55" s="20">
        <f t="shared" si="9"/>
        <v>0.95511627906976726</v>
      </c>
      <c r="AG55" s="170"/>
    </row>
    <row r="56" spans="1:33" ht="15.75" customHeight="1">
      <c r="A56" s="178" t="s">
        <v>506</v>
      </c>
      <c r="B56" s="35" t="s">
        <v>78</v>
      </c>
      <c r="C56" s="174" t="s">
        <v>120</v>
      </c>
      <c r="D56" s="175"/>
      <c r="E56" s="35">
        <v>55.56</v>
      </c>
      <c r="F56" s="38">
        <v>800</v>
      </c>
      <c r="G56" s="4">
        <f t="shared" si="35"/>
        <v>44448</v>
      </c>
      <c r="H56" s="21">
        <v>2</v>
      </c>
      <c r="I56" s="15">
        <v>17</v>
      </c>
      <c r="J56" s="17">
        <v>2000</v>
      </c>
      <c r="K56" s="16">
        <f t="shared" si="1"/>
        <v>117.64705882352941</v>
      </c>
      <c r="L56" s="4">
        <v>17</v>
      </c>
      <c r="M56" s="17">
        <f t="shared" si="36"/>
        <v>1919.9999999999945</v>
      </c>
      <c r="N56" s="17">
        <f t="shared" si="3"/>
        <v>112.94117647058792</v>
      </c>
      <c r="O56" s="18">
        <f t="shared" si="4"/>
        <v>0</v>
      </c>
      <c r="P56" s="19">
        <f t="shared" si="5"/>
        <v>-4.7058823529414866</v>
      </c>
      <c r="Q56" s="20">
        <f t="shared" si="6"/>
        <v>0.95999999999999741</v>
      </c>
      <c r="R56" s="170"/>
      <c r="S56" s="27">
        <v>0.78333333333333333</v>
      </c>
      <c r="T56" s="27">
        <v>0.80069444444444449</v>
      </c>
      <c r="U56" s="4">
        <f t="shared" si="38"/>
        <v>6.9999999999999751</v>
      </c>
      <c r="V56" s="21">
        <f t="shared" si="37"/>
        <v>25.000000000000071</v>
      </c>
      <c r="W56" s="22"/>
      <c r="X56" s="22"/>
      <c r="Y56" s="25"/>
      <c r="Z56" s="25"/>
      <c r="AA56" s="176"/>
      <c r="AB56" s="177"/>
      <c r="AC56" s="24"/>
      <c r="AD56" s="24"/>
      <c r="AE56" s="18">
        <f t="shared" si="8"/>
        <v>-80.000000000005457</v>
      </c>
      <c r="AF56" s="20">
        <f t="shared" si="9"/>
        <v>0.9599999999999973</v>
      </c>
      <c r="AG56" s="170"/>
    </row>
    <row r="57" spans="1:33" ht="15.75" customHeight="1">
      <c r="A57" s="178" t="s">
        <v>506</v>
      </c>
      <c r="B57" s="35" t="s">
        <v>78</v>
      </c>
      <c r="C57" s="174" t="s">
        <v>121</v>
      </c>
      <c r="D57" s="175"/>
      <c r="E57" s="35">
        <v>55.32</v>
      </c>
      <c r="F57" s="38">
        <v>1395</v>
      </c>
      <c r="G57" s="4">
        <f t="shared" si="35"/>
        <v>77171.399999999994</v>
      </c>
      <c r="H57" s="21" t="s">
        <v>133</v>
      </c>
      <c r="I57" s="15">
        <v>15</v>
      </c>
      <c r="J57" s="17">
        <v>2000</v>
      </c>
      <c r="K57" s="16">
        <f t="shared" si="1"/>
        <v>133.33333333333334</v>
      </c>
      <c r="L57" s="4">
        <v>15</v>
      </c>
      <c r="M57" s="17">
        <f t="shared" si="36"/>
        <v>1946.5116279069762</v>
      </c>
      <c r="N57" s="17">
        <f t="shared" si="3"/>
        <v>129.76744186046508</v>
      </c>
      <c r="O57" s="18">
        <f t="shared" si="4"/>
        <v>0</v>
      </c>
      <c r="P57" s="19">
        <f t="shared" si="5"/>
        <v>-3.5658914728682589</v>
      </c>
      <c r="Q57" s="20">
        <f t="shared" si="6"/>
        <v>0.97325581395348804</v>
      </c>
      <c r="R57" s="170"/>
      <c r="S57" s="27">
        <v>0.8041666666666667</v>
      </c>
      <c r="T57" s="27">
        <v>0.83402777777777781</v>
      </c>
      <c r="U57" s="4">
        <f t="shared" si="38"/>
        <v>4.9999999999999822</v>
      </c>
      <c r="V57" s="21">
        <f t="shared" si="37"/>
        <v>43.000000000000007</v>
      </c>
      <c r="W57" s="22">
        <f>T57</f>
        <v>0.83402777777777781</v>
      </c>
      <c r="X57" s="22">
        <f>S58</f>
        <v>0.875</v>
      </c>
      <c r="Y57" s="25"/>
      <c r="Z57" s="25"/>
      <c r="AA57" s="176"/>
      <c r="AB57" s="177"/>
      <c r="AC57" s="24"/>
      <c r="AD57" s="24"/>
      <c r="AE57" s="18">
        <f t="shared" si="8"/>
        <v>-53.488372093023827</v>
      </c>
      <c r="AF57" s="20">
        <f t="shared" si="9"/>
        <v>0.97325581395348804</v>
      </c>
      <c r="AG57" s="170"/>
    </row>
    <row r="58" spans="1:33">
      <c r="A58" s="178" t="s">
        <v>506</v>
      </c>
      <c r="B58" s="35" t="s">
        <v>78</v>
      </c>
      <c r="C58" s="174" t="s">
        <v>120</v>
      </c>
      <c r="D58" s="175"/>
      <c r="E58" s="35">
        <v>55.56</v>
      </c>
      <c r="F58" s="38">
        <v>1090</v>
      </c>
      <c r="G58" s="4">
        <f t="shared" si="35"/>
        <v>60560.4</v>
      </c>
      <c r="H58" s="21" t="s">
        <v>133</v>
      </c>
      <c r="I58" s="15">
        <v>17</v>
      </c>
      <c r="J58" s="17">
        <v>2000</v>
      </c>
      <c r="K58" s="16">
        <f t="shared" si="1"/>
        <v>117.64705882352941</v>
      </c>
      <c r="L58" s="4">
        <v>17</v>
      </c>
      <c r="M58" s="17">
        <f t="shared" si="36"/>
        <v>1923.5294117647036</v>
      </c>
      <c r="N58" s="17">
        <f t="shared" si="3"/>
        <v>113.1487889273355</v>
      </c>
      <c r="O58" s="18">
        <f t="shared" si="4"/>
        <v>0</v>
      </c>
      <c r="P58" s="19">
        <f t="shared" si="5"/>
        <v>-4.4982698961939036</v>
      </c>
      <c r="Q58" s="20">
        <f t="shared" si="6"/>
        <v>0.96176470588235186</v>
      </c>
      <c r="R58" s="170"/>
      <c r="S58" s="27">
        <v>0.875</v>
      </c>
      <c r="T58" s="27">
        <v>0.89861111111111114</v>
      </c>
      <c r="U58" s="4">
        <f t="shared" si="38"/>
        <v>58.99999999999995</v>
      </c>
      <c r="V58" s="21">
        <f t="shared" si="37"/>
        <v>34.000000000000043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8"/>
        <v>-76.470588235296418</v>
      </c>
      <c r="AF58" s="20">
        <f t="shared" si="9"/>
        <v>0.96176470588235174</v>
      </c>
      <c r="AG58" s="170"/>
    </row>
    <row r="59" spans="1:33">
      <c r="A59" s="179" t="s">
        <v>506</v>
      </c>
      <c r="B59" s="35" t="s">
        <v>503</v>
      </c>
      <c r="C59" s="171"/>
      <c r="D59" s="171"/>
      <c r="E59" s="36"/>
      <c r="F59" s="16"/>
      <c r="G59" s="16"/>
      <c r="H59" s="4"/>
      <c r="I59" s="29">
        <v>18.666666666666668</v>
      </c>
      <c r="J59" s="17">
        <v>1944.4444444444443</v>
      </c>
      <c r="K59" s="16">
        <f t="shared" si="1"/>
        <v>104.16666666666666</v>
      </c>
      <c r="L59" s="17">
        <v>18.666666666666668</v>
      </c>
      <c r="M59" s="17">
        <f>AVERAGE(M50:M58)</f>
        <v>1852.7267751986587</v>
      </c>
      <c r="N59" s="16">
        <f t="shared" si="3"/>
        <v>99.253220099928143</v>
      </c>
      <c r="O59" s="18">
        <f t="shared" si="4"/>
        <v>0</v>
      </c>
      <c r="P59" s="19">
        <f t="shared" si="5"/>
        <v>-4.9134465667385143</v>
      </c>
      <c r="Q59" s="20">
        <f t="shared" si="6"/>
        <v>0.95283091295931022</v>
      </c>
      <c r="R59" s="170"/>
      <c r="S59" s="27"/>
      <c r="T59" s="27"/>
      <c r="U59" s="4"/>
      <c r="V59" s="21"/>
      <c r="W59" s="16"/>
      <c r="X59" s="16"/>
      <c r="Y59" s="30">
        <f>SUM(Y50:Y58)</f>
        <v>0</v>
      </c>
      <c r="Z59" s="30">
        <f>SUM(Z50:Z58)</f>
        <v>0</v>
      </c>
      <c r="AA59" s="166"/>
      <c r="AB59" s="166"/>
      <c r="AC59" s="30">
        <f>SUM(AC50:AC58)</f>
        <v>9</v>
      </c>
      <c r="AD59" s="30">
        <f>SUM(AD50:AD58)</f>
        <v>0</v>
      </c>
      <c r="AE59" s="18">
        <f>M59-J59</f>
        <v>-91.717669245785601</v>
      </c>
      <c r="AF59" s="20">
        <f t="shared" si="9"/>
        <v>0.95283091295931022</v>
      </c>
      <c r="AG59" s="170"/>
    </row>
    <row r="60" spans="1:33" ht="15.75" customHeight="1">
      <c r="A60" s="172" t="s">
        <v>507</v>
      </c>
      <c r="B60" s="4" t="s">
        <v>84</v>
      </c>
      <c r="C60" s="163" t="s">
        <v>122</v>
      </c>
      <c r="D60" s="163"/>
      <c r="E60" s="35">
        <v>26.97</v>
      </c>
      <c r="F60" s="38">
        <v>3170</v>
      </c>
      <c r="G60" s="4">
        <f t="shared" ref="G60:G64" si="39">E60*F60</f>
        <v>85494.9</v>
      </c>
      <c r="H60" s="21" t="s">
        <v>133</v>
      </c>
      <c r="I60" s="15">
        <v>8</v>
      </c>
      <c r="J60" s="17">
        <v>1500</v>
      </c>
      <c r="K60" s="16">
        <f t="shared" si="1"/>
        <v>187.5</v>
      </c>
      <c r="L60" s="4">
        <v>8</v>
      </c>
      <c r="M60" s="17">
        <f t="shared" ref="M60:M64" si="40">F60/V60*60</f>
        <v>1430.0751879699242</v>
      </c>
      <c r="N60" s="16">
        <f t="shared" si="3"/>
        <v>178.75939849624052</v>
      </c>
      <c r="O60" s="18">
        <f t="shared" si="4"/>
        <v>0</v>
      </c>
      <c r="P60" s="19">
        <f t="shared" si="5"/>
        <v>-8.7406015037594784</v>
      </c>
      <c r="Q60" s="20">
        <f t="shared" si="6"/>
        <v>0.95338345864661611</v>
      </c>
      <c r="R60" s="170">
        <f>Q65</f>
        <v>0.95742789091034386</v>
      </c>
      <c r="S60" s="27">
        <v>0.20833333333333334</v>
      </c>
      <c r="T60" s="27">
        <v>0.30069444444444449</v>
      </c>
      <c r="U60" s="4"/>
      <c r="V60" s="21">
        <f t="shared" ref="V60:V64" si="41">(T60-S60)*24*60</f>
        <v>133.00000000000006</v>
      </c>
      <c r="W60" s="27"/>
      <c r="X60" s="27"/>
      <c r="Y60" s="27"/>
      <c r="Z60" s="27"/>
      <c r="AA60" s="162"/>
      <c r="AB60" s="162"/>
      <c r="AC60" s="24">
        <v>5</v>
      </c>
      <c r="AD60" s="24"/>
      <c r="AE60" s="18">
        <f t="shared" ref="AE60:AE71" si="42">M60-J60</f>
        <v>-69.924812030075827</v>
      </c>
      <c r="AF60" s="20">
        <f t="shared" si="9"/>
        <v>0.95338345864661611</v>
      </c>
      <c r="AG60" s="170">
        <f>AF65</f>
        <v>0.95742789091034386</v>
      </c>
    </row>
    <row r="61" spans="1:33" ht="15.75" customHeight="1">
      <c r="A61" s="172" t="s">
        <v>507</v>
      </c>
      <c r="B61" s="4" t="s">
        <v>84</v>
      </c>
      <c r="C61" s="163" t="s">
        <v>123</v>
      </c>
      <c r="D61" s="163"/>
      <c r="E61" s="35">
        <v>27.4</v>
      </c>
      <c r="F61" s="38">
        <v>1031</v>
      </c>
      <c r="G61" s="4">
        <f t="shared" si="39"/>
        <v>28249.399999999998</v>
      </c>
      <c r="H61" s="21" t="s">
        <v>133</v>
      </c>
      <c r="I61" s="15">
        <v>10</v>
      </c>
      <c r="J61" s="17">
        <v>1500</v>
      </c>
      <c r="K61" s="16">
        <f t="shared" si="1"/>
        <v>150</v>
      </c>
      <c r="L61" s="4">
        <v>10</v>
      </c>
      <c r="M61" s="17">
        <f t="shared" si="40"/>
        <v>1438.6046511627903</v>
      </c>
      <c r="N61" s="16">
        <f t="shared" si="3"/>
        <v>143.86046511627904</v>
      </c>
      <c r="O61" s="18">
        <f t="shared" si="4"/>
        <v>0</v>
      </c>
      <c r="P61" s="19">
        <f t="shared" si="5"/>
        <v>-6.1395348837209553</v>
      </c>
      <c r="Q61" s="20">
        <f t="shared" si="6"/>
        <v>0.95906976744186034</v>
      </c>
      <c r="R61" s="170"/>
      <c r="S61" s="27">
        <v>0.30625000000000002</v>
      </c>
      <c r="T61" s="27">
        <v>0.33611111111111114</v>
      </c>
      <c r="U61" s="4">
        <f t="shared" ref="U61:U64" si="43">(S61-T60)*24*60</f>
        <v>7.9999999999999716</v>
      </c>
      <c r="V61" s="21">
        <f t="shared" si="41"/>
        <v>43.000000000000007</v>
      </c>
      <c r="W61" s="4"/>
      <c r="X61" s="4"/>
      <c r="Y61" s="4"/>
      <c r="Z61" s="4"/>
      <c r="AA61" s="162"/>
      <c r="AB61" s="162"/>
      <c r="AC61" s="24"/>
      <c r="AD61" s="24"/>
      <c r="AE61" s="18">
        <f t="shared" si="42"/>
        <v>-61.395348837209667</v>
      </c>
      <c r="AF61" s="20">
        <f t="shared" si="9"/>
        <v>0.95906976744186023</v>
      </c>
      <c r="AG61" s="170"/>
    </row>
    <row r="62" spans="1:33" ht="15.75" customHeight="1">
      <c r="A62" s="172" t="s">
        <v>507</v>
      </c>
      <c r="B62" s="4" t="s">
        <v>108</v>
      </c>
      <c r="C62" s="163" t="s">
        <v>125</v>
      </c>
      <c r="D62" s="163"/>
      <c r="E62" s="35">
        <v>37.85</v>
      </c>
      <c r="F62" s="38">
        <v>1752</v>
      </c>
      <c r="G62" s="4">
        <f t="shared" si="39"/>
        <v>66313.2</v>
      </c>
      <c r="H62" s="21" t="s">
        <v>133</v>
      </c>
      <c r="I62" s="15">
        <v>12</v>
      </c>
      <c r="J62" s="17">
        <v>2000</v>
      </c>
      <c r="K62" s="16">
        <f t="shared" si="1"/>
        <v>166.66666666666666</v>
      </c>
      <c r="L62" s="4">
        <v>12</v>
      </c>
      <c r="M62" s="17">
        <f t="shared" si="40"/>
        <v>1911.2727272727286</v>
      </c>
      <c r="N62" s="16">
        <f t="shared" si="3"/>
        <v>159.27272727272739</v>
      </c>
      <c r="O62" s="18">
        <f t="shared" si="4"/>
        <v>0</v>
      </c>
      <c r="P62" s="19">
        <f t="shared" si="5"/>
        <v>-7.393939393939263</v>
      </c>
      <c r="Q62" s="20">
        <f t="shared" si="6"/>
        <v>0.95563636363636439</v>
      </c>
      <c r="R62" s="170"/>
      <c r="S62" s="27">
        <v>0.34166666666666667</v>
      </c>
      <c r="T62" s="27">
        <v>0.37986111111111109</v>
      </c>
      <c r="U62" s="4">
        <f t="shared" si="43"/>
        <v>7.9999999999999716</v>
      </c>
      <c r="V62" s="21">
        <f t="shared" si="41"/>
        <v>54.999999999999964</v>
      </c>
      <c r="W62" s="4"/>
      <c r="X62" s="4"/>
      <c r="Y62" s="4"/>
      <c r="Z62" s="4"/>
      <c r="AA62" s="162"/>
      <c r="AB62" s="162"/>
      <c r="AC62" s="24"/>
      <c r="AD62" s="24"/>
      <c r="AE62" s="18">
        <f t="shared" si="42"/>
        <v>-88.727272727271384</v>
      </c>
      <c r="AF62" s="20">
        <f t="shared" si="9"/>
        <v>0.95563636363636428</v>
      </c>
      <c r="AG62" s="170"/>
    </row>
    <row r="63" spans="1:33" ht="15.75" customHeight="1">
      <c r="A63" s="172" t="s">
        <v>507</v>
      </c>
      <c r="B63" s="4" t="s">
        <v>108</v>
      </c>
      <c r="C63" s="163" t="s">
        <v>126</v>
      </c>
      <c r="D63" s="163"/>
      <c r="E63" s="35">
        <v>34.36</v>
      </c>
      <c r="F63" s="38">
        <v>2351</v>
      </c>
      <c r="G63" s="4">
        <f t="shared" si="39"/>
        <v>80780.36</v>
      </c>
      <c r="H63" s="21" t="s">
        <v>133</v>
      </c>
      <c r="I63" s="15">
        <v>10</v>
      </c>
      <c r="J63" s="17">
        <v>3000</v>
      </c>
      <c r="K63" s="16">
        <f t="shared" si="1"/>
        <v>300</v>
      </c>
      <c r="L63" s="4">
        <v>10</v>
      </c>
      <c r="M63" s="17">
        <f t="shared" si="40"/>
        <v>2878.7755102040824</v>
      </c>
      <c r="N63" s="16">
        <f t="shared" si="3"/>
        <v>287.87755102040825</v>
      </c>
      <c r="O63" s="18">
        <f t="shared" si="4"/>
        <v>0</v>
      </c>
      <c r="P63" s="19">
        <f t="shared" si="5"/>
        <v>-12.122448979591752</v>
      </c>
      <c r="Q63" s="20">
        <f t="shared" si="6"/>
        <v>0.95959183673469417</v>
      </c>
      <c r="R63" s="170"/>
      <c r="S63" s="27">
        <v>0.38541666666666663</v>
      </c>
      <c r="T63" s="27">
        <v>0.4194444444444444</v>
      </c>
      <c r="U63" s="4">
        <f t="shared" si="43"/>
        <v>7.9999999999999716</v>
      </c>
      <c r="V63" s="21">
        <f t="shared" si="41"/>
        <v>48.999999999999986</v>
      </c>
      <c r="W63" s="4"/>
      <c r="X63" s="4"/>
      <c r="Y63" s="4"/>
      <c r="Z63" s="4"/>
      <c r="AA63" s="162"/>
      <c r="AB63" s="162"/>
      <c r="AC63" s="24"/>
      <c r="AD63" s="24"/>
      <c r="AE63" s="18">
        <f t="shared" si="42"/>
        <v>-121.22448979591763</v>
      </c>
      <c r="AF63" s="20">
        <f t="shared" si="9"/>
        <v>0.95959183673469417</v>
      </c>
      <c r="AG63" s="170"/>
    </row>
    <row r="64" spans="1:33">
      <c r="A64" s="173" t="s">
        <v>507</v>
      </c>
      <c r="B64" s="4" t="s">
        <v>108</v>
      </c>
      <c r="C64" s="163" t="s">
        <v>127</v>
      </c>
      <c r="D64" s="163"/>
      <c r="E64" s="35">
        <v>35.119999999999997</v>
      </c>
      <c r="F64" s="38">
        <v>4501</v>
      </c>
      <c r="G64" s="4">
        <f t="shared" si="39"/>
        <v>158075.12</v>
      </c>
      <c r="H64" s="21" t="s">
        <v>133</v>
      </c>
      <c r="I64" s="15">
        <v>10</v>
      </c>
      <c r="J64" s="17">
        <v>3000</v>
      </c>
      <c r="K64" s="16">
        <f t="shared" si="1"/>
        <v>300</v>
      </c>
      <c r="L64" s="4">
        <v>10</v>
      </c>
      <c r="M64" s="17">
        <f t="shared" si="40"/>
        <v>2872.978723404256</v>
      </c>
      <c r="N64" s="16">
        <f t="shared" si="3"/>
        <v>287.29787234042561</v>
      </c>
      <c r="O64" s="18">
        <f t="shared" si="4"/>
        <v>0</v>
      </c>
      <c r="P64" s="19">
        <f t="shared" si="5"/>
        <v>-12.702127659574387</v>
      </c>
      <c r="Q64" s="20">
        <f t="shared" si="6"/>
        <v>0.95765957446808536</v>
      </c>
      <c r="R64" s="170"/>
      <c r="S64" s="27">
        <v>0.42361111111111105</v>
      </c>
      <c r="T64" s="27">
        <v>0.48888888888888882</v>
      </c>
      <c r="U64" s="4">
        <f t="shared" si="43"/>
        <v>5.9999999999999787</v>
      </c>
      <c r="V64" s="21">
        <f t="shared" si="41"/>
        <v>93.999999999999986</v>
      </c>
      <c r="W64" s="22"/>
      <c r="X64" s="22"/>
      <c r="Y64" s="22"/>
      <c r="Z64" s="22"/>
      <c r="AA64" s="162"/>
      <c r="AB64" s="162"/>
      <c r="AC64" s="24"/>
      <c r="AD64" s="24"/>
      <c r="AE64" s="18">
        <f t="shared" si="42"/>
        <v>-127.02127659574398</v>
      </c>
      <c r="AF64" s="20">
        <f t="shared" si="9"/>
        <v>0.95765957446808536</v>
      </c>
      <c r="AG64" s="170"/>
    </row>
    <row r="65" spans="1:33">
      <c r="A65" s="173" t="s">
        <v>507</v>
      </c>
      <c r="B65" s="35" t="s">
        <v>503</v>
      </c>
      <c r="C65" s="171"/>
      <c r="D65" s="171"/>
      <c r="E65" s="36"/>
      <c r="F65" s="16"/>
      <c r="G65" s="16"/>
      <c r="H65" s="4"/>
      <c r="I65" s="29">
        <v>10</v>
      </c>
      <c r="J65" s="17">
        <v>2200</v>
      </c>
      <c r="K65" s="16">
        <f t="shared" si="1"/>
        <v>220</v>
      </c>
      <c r="L65" s="17">
        <v>10</v>
      </c>
      <c r="M65" s="17">
        <f>AVERAGE(M60:M64)</f>
        <v>2106.3413600027566</v>
      </c>
      <c r="N65" s="16">
        <f t="shared" si="3"/>
        <v>210.63413600027565</v>
      </c>
      <c r="O65" s="18">
        <f t="shared" si="4"/>
        <v>0</v>
      </c>
      <c r="P65" s="19">
        <f t="shared" si="5"/>
        <v>-9.365863999724354</v>
      </c>
      <c r="Q65" s="20">
        <f t="shared" si="6"/>
        <v>0.95742789091034386</v>
      </c>
      <c r="R65" s="170"/>
      <c r="S65" s="27"/>
      <c r="T65" s="27"/>
      <c r="U65" s="16"/>
      <c r="V65" s="21"/>
      <c r="W65" s="16"/>
      <c r="X65" s="16"/>
      <c r="Y65" s="30">
        <f>SUM(Y60:Y64)</f>
        <v>0</v>
      </c>
      <c r="Z65" s="30">
        <f>SUM(Z60:Z64)</f>
        <v>0</v>
      </c>
      <c r="AA65" s="166"/>
      <c r="AB65" s="166"/>
      <c r="AC65" s="30">
        <f>SUM(AC60:AC64)</f>
        <v>5</v>
      </c>
      <c r="AD65" s="30">
        <f>SUM(AD60:AD64)</f>
        <v>0</v>
      </c>
      <c r="AE65" s="18">
        <f t="shared" si="42"/>
        <v>-93.658639997243426</v>
      </c>
      <c r="AF65" s="20">
        <f t="shared" si="9"/>
        <v>0.95742789091034386</v>
      </c>
      <c r="AG65" s="170"/>
    </row>
    <row r="66" spans="1:33" ht="15.75" customHeight="1">
      <c r="A66" s="167" t="s">
        <v>508</v>
      </c>
      <c r="B66" s="4" t="s">
        <v>97</v>
      </c>
      <c r="C66" s="163" t="s">
        <v>128</v>
      </c>
      <c r="D66" s="163"/>
      <c r="E66" s="35">
        <v>20.2</v>
      </c>
      <c r="F66" s="4">
        <v>2272</v>
      </c>
      <c r="G66" s="4">
        <f t="shared" ref="G66:G70" si="44">E66*F66</f>
        <v>45894.400000000001</v>
      </c>
      <c r="H66" s="21" t="s">
        <v>133</v>
      </c>
      <c r="I66" s="15">
        <v>15</v>
      </c>
      <c r="J66" s="17">
        <v>2400</v>
      </c>
      <c r="K66" s="16">
        <f t="shared" si="1"/>
        <v>160</v>
      </c>
      <c r="L66" s="4">
        <v>15</v>
      </c>
      <c r="M66" s="17">
        <f t="shared" ref="M66:M70" si="45">F66/V66*60</f>
        <v>2310.5084745762711</v>
      </c>
      <c r="N66" s="16">
        <f t="shared" si="3"/>
        <v>154.03389830508473</v>
      </c>
      <c r="O66" s="18">
        <f t="shared" si="4"/>
        <v>0</v>
      </c>
      <c r="P66" s="19">
        <f t="shared" si="5"/>
        <v>-5.9661016949152668</v>
      </c>
      <c r="Q66" s="20">
        <f t="shared" si="6"/>
        <v>0.96271186440677958</v>
      </c>
      <c r="R66" s="170">
        <f>Q71</f>
        <v>0.95767039179226965</v>
      </c>
      <c r="S66" s="27">
        <v>8.3333333333333329E-2</v>
      </c>
      <c r="T66" s="27">
        <v>0.12430555555555556</v>
      </c>
      <c r="U66" s="27"/>
      <c r="V66" s="21">
        <f t="shared" ref="V66:V70" si="46">(T66-S66)*24*60</f>
        <v>59.000000000000007</v>
      </c>
      <c r="W66" s="22">
        <f>T66</f>
        <v>0.12430555555555556</v>
      </c>
      <c r="X66" s="22">
        <f>S67</f>
        <v>0.14305555555555557</v>
      </c>
      <c r="Y66" s="22"/>
      <c r="Z66" s="22"/>
      <c r="AA66" s="162"/>
      <c r="AB66" s="162"/>
      <c r="AC66" s="24">
        <v>5</v>
      </c>
      <c r="AD66" s="24"/>
      <c r="AE66" s="18">
        <f t="shared" si="42"/>
        <v>-89.491525423728945</v>
      </c>
      <c r="AF66" s="20">
        <f t="shared" si="9"/>
        <v>0.96271186440677958</v>
      </c>
      <c r="AG66" s="170">
        <f>AF71</f>
        <v>0.95767039179226965</v>
      </c>
    </row>
    <row r="67" spans="1:33" ht="15.75" customHeight="1">
      <c r="A67" s="168" t="s">
        <v>508</v>
      </c>
      <c r="B67" s="4" t="s">
        <v>97</v>
      </c>
      <c r="C67" s="163" t="s">
        <v>129</v>
      </c>
      <c r="D67" s="163"/>
      <c r="E67" s="35">
        <v>24.45</v>
      </c>
      <c r="F67" s="4">
        <v>2541</v>
      </c>
      <c r="G67" s="4">
        <f t="shared" si="44"/>
        <v>62127.45</v>
      </c>
      <c r="H67" s="21" t="s">
        <v>133</v>
      </c>
      <c r="I67" s="15">
        <v>19</v>
      </c>
      <c r="J67" s="17">
        <v>2400</v>
      </c>
      <c r="K67" s="16">
        <f t="shared" si="1"/>
        <v>126.31578947368421</v>
      </c>
      <c r="L67" s="4">
        <v>19</v>
      </c>
      <c r="M67" s="17">
        <f t="shared" si="45"/>
        <v>2310</v>
      </c>
      <c r="N67" s="16">
        <f t="shared" si="3"/>
        <v>121.57894736842105</v>
      </c>
      <c r="O67" s="18">
        <f t="shared" si="4"/>
        <v>0</v>
      </c>
      <c r="P67" s="19">
        <f t="shared" si="5"/>
        <v>-4.7368421052631504</v>
      </c>
      <c r="Q67" s="20">
        <f t="shared" si="6"/>
        <v>0.96250000000000002</v>
      </c>
      <c r="R67" s="170"/>
      <c r="S67" s="27">
        <v>0.14305555555555557</v>
      </c>
      <c r="T67" s="27">
        <v>0.18888888888888891</v>
      </c>
      <c r="U67" s="4">
        <f t="shared" ref="U67:U70" si="47">(S67-T66)*24*60</f>
        <v>27.000000000000025</v>
      </c>
      <c r="V67" s="21">
        <f t="shared" si="46"/>
        <v>66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42"/>
        <v>-90</v>
      </c>
      <c r="AF67" s="20">
        <f t="shared" si="9"/>
        <v>0.96250000000000002</v>
      </c>
      <c r="AG67" s="170"/>
    </row>
    <row r="68" spans="1:33" ht="15.75" customHeight="1">
      <c r="A68" s="168" t="s">
        <v>508</v>
      </c>
      <c r="B68" s="4" t="s">
        <v>97</v>
      </c>
      <c r="C68" s="163" t="s">
        <v>130</v>
      </c>
      <c r="D68" s="163"/>
      <c r="E68" s="35">
        <v>24.43</v>
      </c>
      <c r="F68" s="4">
        <v>6416</v>
      </c>
      <c r="G68" s="4">
        <f t="shared" si="44"/>
        <v>156742.88</v>
      </c>
      <c r="H68" s="21" t="s">
        <v>133</v>
      </c>
      <c r="I68" s="15">
        <v>14</v>
      </c>
      <c r="J68" s="17">
        <v>2400</v>
      </c>
      <c r="K68" s="16">
        <f t="shared" si="1"/>
        <v>171.42857142857142</v>
      </c>
      <c r="L68" s="4">
        <v>14</v>
      </c>
      <c r="M68" s="17">
        <f t="shared" si="45"/>
        <v>2291.428571428572</v>
      </c>
      <c r="N68" s="16">
        <f t="shared" si="3"/>
        <v>163.67346938775515</v>
      </c>
      <c r="O68" s="18">
        <f t="shared" si="4"/>
        <v>0</v>
      </c>
      <c r="P68" s="19">
        <f t="shared" si="5"/>
        <v>-7.7551020408162685</v>
      </c>
      <c r="Q68" s="20">
        <f t="shared" si="6"/>
        <v>0.95476190476190514</v>
      </c>
      <c r="R68" s="170"/>
      <c r="S68" s="27">
        <v>0.19375000000000003</v>
      </c>
      <c r="T68" s="27">
        <v>0.31041666666666667</v>
      </c>
      <c r="U68" s="4">
        <f t="shared" si="47"/>
        <v>7.0000000000000151</v>
      </c>
      <c r="V68" s="21">
        <f t="shared" si="46"/>
        <v>167.99999999999997</v>
      </c>
      <c r="W68" s="22"/>
      <c r="X68" s="22"/>
      <c r="Y68" s="22"/>
      <c r="Z68" s="22"/>
      <c r="AA68" s="162"/>
      <c r="AB68" s="162"/>
      <c r="AC68" s="24"/>
      <c r="AD68" s="24"/>
      <c r="AE68" s="18">
        <f t="shared" si="42"/>
        <v>-108.57142857142799</v>
      </c>
      <c r="AF68" s="20">
        <f t="shared" si="9"/>
        <v>0.95476190476190503</v>
      </c>
      <c r="AG68" s="170"/>
    </row>
    <row r="69" spans="1:33" ht="15.75" customHeight="1">
      <c r="A69" s="168" t="s">
        <v>508</v>
      </c>
      <c r="B69" s="4" t="s">
        <v>97</v>
      </c>
      <c r="C69" s="163" t="s">
        <v>132</v>
      </c>
      <c r="D69" s="163"/>
      <c r="E69" s="35">
        <v>19.02</v>
      </c>
      <c r="F69" s="4">
        <v>8686</v>
      </c>
      <c r="G69" s="4">
        <f t="shared" si="44"/>
        <v>165207.72</v>
      </c>
      <c r="H69" s="21" t="s">
        <v>133</v>
      </c>
      <c r="I69" s="15">
        <v>14</v>
      </c>
      <c r="J69" s="17">
        <v>2400</v>
      </c>
      <c r="K69" s="16">
        <f t="shared" ref="K69:K71" si="48">J69/I69</f>
        <v>171.42857142857142</v>
      </c>
      <c r="L69" s="4">
        <v>14</v>
      </c>
      <c r="M69" s="17">
        <f t="shared" si="45"/>
        <v>2285.7894736842109</v>
      </c>
      <c r="N69" s="16">
        <f t="shared" ref="N69:N71" si="49">M69/L69</f>
        <v>163.27067669172934</v>
      </c>
      <c r="O69" s="18">
        <f t="shared" ref="O69:O71" si="50">L69-I69</f>
        <v>0</v>
      </c>
      <c r="P69" s="19">
        <f t="shared" ref="P69:P71" si="51">N69-K69</f>
        <v>-8.1578947368420813</v>
      </c>
      <c r="Q69" s="20">
        <f t="shared" ref="Q69:Q71" si="52">N69/K69</f>
        <v>0.95241228070175454</v>
      </c>
      <c r="R69" s="170"/>
      <c r="S69" s="27">
        <v>0.31458333333333333</v>
      </c>
      <c r="T69" s="27">
        <v>0.47291666666666665</v>
      </c>
      <c r="U69" s="4">
        <f t="shared" si="47"/>
        <v>5.9999999999999787</v>
      </c>
      <c r="V69" s="21">
        <f t="shared" si="46"/>
        <v>228</v>
      </c>
      <c r="W69" s="22">
        <f>T69</f>
        <v>0.47291666666666665</v>
      </c>
      <c r="X69" s="22">
        <f>S70</f>
        <v>0.51527777777777772</v>
      </c>
      <c r="Y69" s="22"/>
      <c r="Z69" s="22"/>
      <c r="AA69" s="162"/>
      <c r="AB69" s="162"/>
      <c r="AC69" s="24"/>
      <c r="AD69" s="24"/>
      <c r="AE69" s="18">
        <f t="shared" si="42"/>
        <v>-114.21052631578914</v>
      </c>
      <c r="AF69" s="20">
        <f t="shared" ref="AF69:AF71" si="53">M69/J69</f>
        <v>0.95241228070175454</v>
      </c>
      <c r="AG69" s="170"/>
    </row>
    <row r="70" spans="1:33" ht="15.75" customHeight="1">
      <c r="A70" s="168" t="s">
        <v>509</v>
      </c>
      <c r="B70" s="4" t="s">
        <v>97</v>
      </c>
      <c r="C70" s="163" t="s">
        <v>98</v>
      </c>
      <c r="D70" s="163"/>
      <c r="E70" s="35">
        <v>31.29</v>
      </c>
      <c r="F70" s="4">
        <v>3365</v>
      </c>
      <c r="G70" s="4">
        <f t="shared" si="44"/>
        <v>105290.84999999999</v>
      </c>
      <c r="H70" s="21" t="s">
        <v>133</v>
      </c>
      <c r="I70" s="15">
        <v>18</v>
      </c>
      <c r="J70" s="17">
        <v>2400</v>
      </c>
      <c r="K70" s="16">
        <f t="shared" si="48"/>
        <v>133.33333333333334</v>
      </c>
      <c r="L70" s="4">
        <v>18</v>
      </c>
      <c r="M70" s="17">
        <f t="shared" si="45"/>
        <v>2294.318181818182</v>
      </c>
      <c r="N70" s="16">
        <f t="shared" si="49"/>
        <v>127.46212121212122</v>
      </c>
      <c r="O70" s="18">
        <f t="shared" si="50"/>
        <v>0</v>
      </c>
      <c r="P70" s="19">
        <f t="shared" si="51"/>
        <v>-5.8712121212121247</v>
      </c>
      <c r="Q70" s="20">
        <f t="shared" si="52"/>
        <v>0.95596590909090906</v>
      </c>
      <c r="R70" s="170"/>
      <c r="S70" s="27">
        <v>0.51527777777777772</v>
      </c>
      <c r="T70" s="27">
        <v>0.57638888888888884</v>
      </c>
      <c r="U70" s="4">
        <f t="shared" si="47"/>
        <v>60.999999999999943</v>
      </c>
      <c r="V70" s="21">
        <f t="shared" si="46"/>
        <v>88</v>
      </c>
      <c r="W70" s="22"/>
      <c r="X70" s="22"/>
      <c r="Y70" s="22"/>
      <c r="Z70" s="22"/>
      <c r="AA70" s="162"/>
      <c r="AB70" s="162"/>
      <c r="AC70" s="24"/>
      <c r="AD70" s="24"/>
      <c r="AE70" s="18">
        <f t="shared" si="42"/>
        <v>-105.68181818181802</v>
      </c>
      <c r="AF70" s="20">
        <f t="shared" si="53"/>
        <v>0.95596590909090917</v>
      </c>
      <c r="AG70" s="170"/>
    </row>
    <row r="71" spans="1:33" ht="16.5" customHeight="1">
      <c r="A71" s="169" t="s">
        <v>508</v>
      </c>
      <c r="B71" s="35" t="s">
        <v>503</v>
      </c>
      <c r="C71" s="164"/>
      <c r="D71" s="165"/>
      <c r="E71" s="36"/>
      <c r="F71" s="16"/>
      <c r="G71" s="16"/>
      <c r="H71" s="4"/>
      <c r="I71" s="29">
        <v>16</v>
      </c>
      <c r="J71" s="17">
        <v>2400</v>
      </c>
      <c r="K71" s="16">
        <f t="shared" si="48"/>
        <v>150</v>
      </c>
      <c r="L71" s="17">
        <v>16</v>
      </c>
      <c r="M71" s="17">
        <f>AVERAGE(M66:M70)</f>
        <v>2298.4089403014473</v>
      </c>
      <c r="N71" s="16">
        <f t="shared" si="49"/>
        <v>143.65055876884045</v>
      </c>
      <c r="O71" s="18">
        <f t="shared" si="50"/>
        <v>0</v>
      </c>
      <c r="P71" s="19">
        <f t="shared" si="51"/>
        <v>-6.3494412311595454</v>
      </c>
      <c r="Q71" s="20">
        <f t="shared" si="52"/>
        <v>0.95767039179226965</v>
      </c>
      <c r="R71" s="170"/>
      <c r="S71" s="27"/>
      <c r="T71" s="27"/>
      <c r="U71" s="16"/>
      <c r="V71" s="21"/>
      <c r="W71" s="16"/>
      <c r="X71" s="16"/>
      <c r="Y71" s="30">
        <f>SUM(Y66:Y70)</f>
        <v>0</v>
      </c>
      <c r="Z71" s="30">
        <f>SUM(Z66:Z70)</f>
        <v>0</v>
      </c>
      <c r="AA71" s="166"/>
      <c r="AB71" s="166"/>
      <c r="AC71" s="30">
        <f>SUM(AC66:AC70)</f>
        <v>5</v>
      </c>
      <c r="AD71" s="30">
        <f>SUM(AD66:AD70)</f>
        <v>0</v>
      </c>
      <c r="AE71" s="18">
        <f t="shared" si="42"/>
        <v>-101.59105969855273</v>
      </c>
      <c r="AF71" s="20">
        <f t="shared" si="53"/>
        <v>0.95767039179226965</v>
      </c>
      <c r="AG71" s="170"/>
    </row>
    <row r="72" spans="1:33">
      <c r="D72" s="41"/>
      <c r="E72" s="41"/>
    </row>
  </sheetData>
  <mergeCells count="195">
    <mergeCell ref="A66:A71"/>
    <mergeCell ref="C66:D66"/>
    <mergeCell ref="R66:R71"/>
    <mergeCell ref="AA66:AB66"/>
    <mergeCell ref="A60:A65"/>
    <mergeCell ref="C60:D60"/>
    <mergeCell ref="R60:R65"/>
    <mergeCell ref="AA60:AB60"/>
    <mergeCell ref="AA65:AB65"/>
    <mergeCell ref="AG66:AG71"/>
    <mergeCell ref="C67:D67"/>
    <mergeCell ref="AA67:AB67"/>
    <mergeCell ref="C68:D68"/>
    <mergeCell ref="AA68:AB68"/>
    <mergeCell ref="C69:D69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A69:AB69"/>
    <mergeCell ref="C70:D70"/>
    <mergeCell ref="AA70:AB70"/>
    <mergeCell ref="C71:D71"/>
    <mergeCell ref="AA71:AB71"/>
    <mergeCell ref="C55:D55"/>
    <mergeCell ref="AA55:AB55"/>
    <mergeCell ref="C56:D56"/>
    <mergeCell ref="AA56:AB56"/>
    <mergeCell ref="C57:D57"/>
    <mergeCell ref="AA57:AB57"/>
    <mergeCell ref="A50:A59"/>
    <mergeCell ref="C50:D50"/>
    <mergeCell ref="R50:R59"/>
    <mergeCell ref="AA50:AB50"/>
    <mergeCell ref="C58:D58"/>
    <mergeCell ref="AA58:AB58"/>
    <mergeCell ref="C59:D59"/>
    <mergeCell ref="AA59:AB59"/>
    <mergeCell ref="A43:A49"/>
    <mergeCell ref="C43:D43"/>
    <mergeCell ref="R43:R49"/>
    <mergeCell ref="AA43:AB43"/>
    <mergeCell ref="AA48:AB48"/>
    <mergeCell ref="C49:D49"/>
    <mergeCell ref="AA49:AB49"/>
    <mergeCell ref="AG50:AG59"/>
    <mergeCell ref="C51:D51"/>
    <mergeCell ref="AA51:AB51"/>
    <mergeCell ref="C52:D52"/>
    <mergeCell ref="AA52:AB52"/>
    <mergeCell ref="AA53:AB53"/>
    <mergeCell ref="AG43:AG49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A54:AB54"/>
    <mergeCell ref="A35:A42"/>
    <mergeCell ref="C35:D35"/>
    <mergeCell ref="R35:R42"/>
    <mergeCell ref="AA35:AB35"/>
    <mergeCell ref="AA40:AB40"/>
    <mergeCell ref="C41:D41"/>
    <mergeCell ref="AG35:AG42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AA41:AB41"/>
    <mergeCell ref="C42:D42"/>
    <mergeCell ref="AA42:AB42"/>
    <mergeCell ref="C31:D31"/>
    <mergeCell ref="AA31:AB31"/>
    <mergeCell ref="C32:D32"/>
    <mergeCell ref="AA32:AB32"/>
    <mergeCell ref="AA26:AB26"/>
    <mergeCell ref="A27:A34"/>
    <mergeCell ref="C27:D27"/>
    <mergeCell ref="R27:R34"/>
    <mergeCell ref="AA27:AB27"/>
    <mergeCell ref="C33:D33"/>
    <mergeCell ref="AA33:AB33"/>
    <mergeCell ref="C34:D34"/>
    <mergeCell ref="AA34:AB34"/>
    <mergeCell ref="A20:A26"/>
    <mergeCell ref="C20:D20"/>
    <mergeCell ref="R20:R26"/>
    <mergeCell ref="AA20:AB20"/>
    <mergeCell ref="AA25:AB25"/>
    <mergeCell ref="C26:D26"/>
    <mergeCell ref="A14:A19"/>
    <mergeCell ref="AG27:AG34"/>
    <mergeCell ref="C28:D28"/>
    <mergeCell ref="AA28:AB28"/>
    <mergeCell ref="C29:D29"/>
    <mergeCell ref="AA29:AB29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30:D30"/>
    <mergeCell ref="AA30:AB3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14:D14"/>
    <mergeCell ref="R14:R19"/>
    <mergeCell ref="AA14:AB14"/>
    <mergeCell ref="AG14:AG19"/>
    <mergeCell ref="C18:D18"/>
    <mergeCell ref="AA18:AB18"/>
    <mergeCell ref="C19:D19"/>
    <mergeCell ref="AA19:AB19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1">
    <cfRule type="cellIs" dxfId="38" priority="1" operator="greaterThan">
      <formula>0</formula>
    </cfRule>
  </conditionalFormatting>
  <conditionalFormatting sqref="P5:P71">
    <cfRule type="cellIs" dxfId="37" priority="4" operator="lessThan">
      <formula>0</formula>
    </cfRule>
  </conditionalFormatting>
  <conditionalFormatting sqref="Q5:Q71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R5:R11 AG5:AG11">
    <cfRule type="cellIs" dxfId="34" priority="57" operator="lessThan">
      <formula>0.8</formula>
    </cfRule>
  </conditionalFormatting>
  <conditionalFormatting sqref="AE5:AE71">
    <cfRule type="cellIs" dxfId="33" priority="17" operator="lessThan">
      <formula>0</formula>
    </cfRule>
  </conditionalFormatting>
  <conditionalFormatting sqref="AF5:AF71">
    <cfRule type="cellIs" dxfId="32" priority="16" operator="lessThan">
      <formula>0.8</formula>
    </cfRule>
    <cfRule type="cellIs" dxfId="31" priority="15" operator="greaterThan">
      <formula>1</formula>
    </cfRule>
  </conditionalFormatting>
  <conditionalFormatting sqref="AG14:AG63 R14:R71">
    <cfRule type="cellIs" dxfId="30" priority="5" operator="lessThan">
      <formula>0.8</formula>
    </cfRule>
  </conditionalFormatting>
  <dataValidations count="1">
    <dataValidation type="list" allowBlank="1" showInputMessage="1" showErrorMessage="1" sqref="AB10 AA5:AB9 AB64 AA10:AA64 AB12:AB60 AA65:AB71" xr:uid="{00000000-0002-0000-3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Q32"/>
  <sheetViews>
    <sheetView zoomScale="85" zoomScaleNormal="85" workbookViewId="0">
      <selection activeCell="O3" sqref="O3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306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135</v>
      </c>
      <c r="C3" s="151" t="str">
        <f>TEXT('0303 4度C'!A2,"yyyy.mm.ddaaaa")</f>
        <v>2026.03.03星期二</v>
      </c>
      <c r="D3" s="152"/>
      <c r="E3" s="45" t="s">
        <v>307</v>
      </c>
      <c r="F3" s="153">
        <f>'0303 4度C'!D1</f>
        <v>177525</v>
      </c>
      <c r="G3" s="154"/>
      <c r="H3" s="45" t="s">
        <v>308</v>
      </c>
      <c r="I3" s="155">
        <f>'0303 4度C'!F1</f>
        <v>5786860.5299999993</v>
      </c>
      <c r="J3" s="156"/>
      <c r="K3" s="46"/>
      <c r="L3" s="47"/>
      <c r="M3" s="47"/>
      <c r="N3" s="47"/>
    </row>
    <row r="4" spans="2:17" ht="28.5" customHeight="1">
      <c r="B4" s="157" t="s">
        <v>309</v>
      </c>
      <c r="C4" s="143" t="s">
        <v>310</v>
      </c>
      <c r="D4" s="144"/>
      <c r="E4" s="160" t="s">
        <v>140</v>
      </c>
      <c r="F4" s="161"/>
      <c r="G4" s="160" t="s">
        <v>141</v>
      </c>
      <c r="H4" s="161"/>
      <c r="I4" s="160" t="s">
        <v>142</v>
      </c>
      <c r="J4" s="161"/>
      <c r="K4" s="141" t="s">
        <v>311</v>
      </c>
      <c r="L4" s="142"/>
      <c r="M4" s="142" t="s">
        <v>312</v>
      </c>
      <c r="N4" s="142"/>
    </row>
    <row r="5" spans="2:17" ht="28.5" customHeight="1">
      <c r="B5" s="158"/>
      <c r="C5" s="143" t="s">
        <v>313</v>
      </c>
      <c r="D5" s="144"/>
      <c r="E5" s="143" t="s">
        <v>314</v>
      </c>
      <c r="F5" s="144"/>
      <c r="G5" s="145" t="s">
        <v>315</v>
      </c>
      <c r="H5" s="146"/>
      <c r="I5" s="147" t="s">
        <v>316</v>
      </c>
      <c r="J5" s="148"/>
      <c r="K5" s="48" t="s">
        <v>317</v>
      </c>
      <c r="L5" s="49" t="s">
        <v>318</v>
      </c>
      <c r="M5" s="48" t="s">
        <v>319</v>
      </c>
      <c r="N5" s="49" t="s">
        <v>152</v>
      </c>
    </row>
    <row r="6" spans="2:17" ht="28.5" customHeight="1">
      <c r="B6" s="158"/>
      <c r="C6" s="143" t="s">
        <v>153</v>
      </c>
      <c r="D6" s="144"/>
      <c r="E6" s="135">
        <f>AVERAGE(D13:M13)</f>
        <v>150.35056033119585</v>
      </c>
      <c r="F6" s="136">
        <f>AVERAGE(D31:O31,D13:J13)</f>
        <v>153.4791568799705</v>
      </c>
      <c r="G6" s="137">
        <f>AVERAGE(D13:J13)</f>
        <v>153.4791568799705</v>
      </c>
      <c r="H6" s="138"/>
      <c r="I6" s="137">
        <f>AVERAGE(K13:M13)</f>
        <v>143.05050171738839</v>
      </c>
      <c r="J6" s="138"/>
      <c r="K6" s="139">
        <f>'0303 4度C'!Y2</f>
        <v>0</v>
      </c>
      <c r="L6" s="124">
        <f>'0303 4度C'!Z2</f>
        <v>0</v>
      </c>
      <c r="M6" s="140">
        <f>'0303 4度C'!AC2</f>
        <v>59</v>
      </c>
      <c r="N6" s="124">
        <f>'0303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143.9013457947749</v>
      </c>
      <c r="F7" s="128">
        <f>AVERAGE(D32:O32,D14:J14)</f>
        <v>147.02984951407282</v>
      </c>
      <c r="G7" s="129">
        <f>AVERAGE(D14:J14)</f>
        <v>147.02984951407282</v>
      </c>
      <c r="H7" s="130"/>
      <c r="I7" s="129">
        <f>AVERAGE(K14:M14)</f>
        <v>136.60150378307978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0.9571478811071884</v>
      </c>
      <c r="F8" s="132">
        <f>AVERAGE(D15:J15,D33:O33)</f>
        <v>0.95812793355355919</v>
      </c>
      <c r="G8" s="133">
        <f>AVERAGE(D15:J15)</f>
        <v>0.95812793355355919</v>
      </c>
      <c r="H8" s="134"/>
      <c r="I8" s="133">
        <f>AVERAGE(K15:M15)</f>
        <v>0.95486109206565661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320</v>
      </c>
      <c r="N9" s="47"/>
      <c r="O9" s="47"/>
      <c r="P9" s="47"/>
      <c r="Q9" s="47"/>
    </row>
    <row r="10" spans="2:17" ht="30" customHeight="1">
      <c r="B10" s="107" t="s">
        <v>321</v>
      </c>
      <c r="C10" s="108"/>
      <c r="D10" s="109" t="s">
        <v>322</v>
      </c>
      <c r="E10" s="110"/>
      <c r="F10" s="110"/>
      <c r="G10" s="110"/>
      <c r="H10" s="110"/>
      <c r="I10" s="110"/>
      <c r="J10" s="111"/>
      <c r="K10" s="112" t="s">
        <v>323</v>
      </c>
      <c r="L10" s="113"/>
      <c r="M10" s="114"/>
      <c r="P10" s="53"/>
      <c r="Q10" s="53"/>
    </row>
    <row r="11" spans="2:17" ht="17.25" customHeight="1">
      <c r="B11" s="115" t="s">
        <v>324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13</v>
      </c>
      <c r="C13" s="60" t="s">
        <v>325</v>
      </c>
      <c r="D13" s="61">
        <f>SUMIFS('0303 4度C'!$K:$K,'0303 4度C'!$A:$A,"新豐6線",'0303 4度C'!$B:$B,"平均")</f>
        <v>112.35955056179775</v>
      </c>
      <c r="E13" s="62">
        <f>SUMIFS('0303 4度C'!$K:$K,'0303 4度C'!$A:$A,"新豐2線",'0303 4度C'!$B:$B,"平均")</f>
        <v>83.333333333333329</v>
      </c>
      <c r="F13" s="63">
        <f>SUMIFS('0303 4度C'!$K:$K,'0303 4度C'!$A:$A,"新豐5線",'0303 4度C'!$B:$B,"平均")</f>
        <v>109.19540229885058</v>
      </c>
      <c r="G13" s="63">
        <f>SUMIFS('0303 4度C'!$K:$K,'0303 4度C'!$A:$A,"新豐7線",'0303 4度C'!$B:$B,"平均")</f>
        <v>122.22222222222221</v>
      </c>
      <c r="H13" s="63">
        <f>SUMIFS('0303 4度C'!$K:$K,'0303 4度C'!$A:$A,"新豐3線",'0303 4度C'!$B:$B,"平均")</f>
        <v>323.07692307692304</v>
      </c>
      <c r="I13" s="63">
        <f>SUMIFS('0303 4度C'!$K:$K,'0303 4度C'!$A:$A,"新豐1線",'0303 4度C'!$B:$B,"平均")</f>
        <v>104.16666666666666</v>
      </c>
      <c r="J13" s="64">
        <f>SUMIFS('0303 4度C'!$K:$K,'0303 4度C'!$A:$A,"新豐10線",'0303 4度C'!$B:$B,"平均")</f>
        <v>220</v>
      </c>
      <c r="K13" s="65">
        <f>SUMIFS('0303 4度C'!$K:$K,'0303 4度C'!$A:$A,"新豐8線",'0303 4度C'!$B:$B,"平均")</f>
        <v>132.41379310344828</v>
      </c>
      <c r="L13" s="66">
        <f>SUMIFS('0303 4度C'!$K:$K,'0303 4度C'!$A:$A,"新豐9線",'0303 4度C'!$B:$B,"平均")</f>
        <v>138.84297520661158</v>
      </c>
      <c r="M13" s="64">
        <f>SUMIFS('0303 4度C'!$K:$K,'0303 4度C'!$A:$A,"新豐4線",'0303 4度C'!$B:$B,"平均")</f>
        <v>157.89473684210526</v>
      </c>
    </row>
    <row r="14" spans="2:17" ht="39.6" customHeight="1">
      <c r="B14" s="120"/>
      <c r="C14" s="67" t="s">
        <v>326</v>
      </c>
      <c r="D14" s="68">
        <f>SUMIFS('0303 4度C'!$N:$N,'0303 4度C'!$A:$A,"新豐6線",'0303 4度C'!$B:$B,"平均")</f>
        <v>108.13814964187931</v>
      </c>
      <c r="E14" s="69">
        <f>SUMIFS('0303 4度C'!$N:$N,'0303 4度C'!$A:$A,"新豐2線",'0303 4度C'!$B:$B,"平均")</f>
        <v>79.515602803665388</v>
      </c>
      <c r="F14" s="69">
        <f>SUMIFS('0303 4度C'!$N:$N,'0303 4度C'!$A:$A,"新豐5線",'0303 4度C'!$B:$B,"平均")</f>
        <v>104.8427098381384</v>
      </c>
      <c r="G14" s="69">
        <f>SUMIFS('0303 4度C'!$N:$N,'0303 4度C'!$A:$A,"新豐7線",'0303 4度C'!$B:$B,"平均")</f>
        <v>117.41468471893239</v>
      </c>
      <c r="H14" s="69">
        <f>SUMIFS('0303 4度C'!$N:$N,'0303 4度C'!$A:$A,"新豐3線",'0303 4度C'!$B:$B,"平均")</f>
        <v>308.73885963520365</v>
      </c>
      <c r="I14" s="69">
        <f>SUMIFS('0303 4度C'!$N:$N,'0303 4度C'!$A:$A,"新豐1線",'0303 4度C'!$B:$B,"平均")</f>
        <v>99.360634099884635</v>
      </c>
      <c r="J14" s="70">
        <f>SUMIFS('0303 4度C'!$N:$N,'0303 4度C'!$A:$A,"新豐10線",'0303 4度C'!$B:$B,"平均")</f>
        <v>211.19830586080585</v>
      </c>
      <c r="K14" s="71">
        <f>SUMIFS('0303 4度C'!$N:$N,'0303 4度C'!$A:$A,"新豐8線",'0303 4度C'!$B:$B,"平均")</f>
        <v>126.17890024166998</v>
      </c>
      <c r="L14" s="72">
        <f>SUMIFS('0303 4度C'!$N:$N,'0303 4度C'!$A:$A,"新豐9線",'0303 4度C'!$B:$B,"平均")</f>
        <v>132.75931850012594</v>
      </c>
      <c r="M14" s="70">
        <f>SUMIFS('0303 4度C'!$N:$N,'0303 4度C'!$A:$A,"新豐4線",'0303 4度C'!$B:$B,"平均")</f>
        <v>150.86629260744337</v>
      </c>
    </row>
    <row r="15" spans="2:17" ht="40.15" customHeight="1">
      <c r="B15" s="121"/>
      <c r="C15" s="73" t="s">
        <v>174</v>
      </c>
      <c r="D15" s="74">
        <f t="shared" ref="D15:M15" si="0">D14/D13</f>
        <v>0.96242953181272595</v>
      </c>
      <c r="E15" s="75">
        <f t="shared" si="0"/>
        <v>0.95418723364398472</v>
      </c>
      <c r="F15" s="75">
        <f t="shared" si="0"/>
        <v>0.9601385006229517</v>
      </c>
      <c r="G15" s="75">
        <f t="shared" si="0"/>
        <v>0.96066560224581055</v>
      </c>
      <c r="H15" s="75">
        <f t="shared" si="0"/>
        <v>0.95562027982324949</v>
      </c>
      <c r="I15" s="75">
        <f t="shared" si="0"/>
        <v>0.95386208735889255</v>
      </c>
      <c r="J15" s="76">
        <f t="shared" si="0"/>
        <v>0.95999229936729935</v>
      </c>
      <c r="K15" s="74">
        <f t="shared" si="0"/>
        <v>0.95291356953344508</v>
      </c>
      <c r="L15" s="75">
        <f t="shared" si="0"/>
        <v>0.95618318681638315</v>
      </c>
      <c r="M15" s="76">
        <f t="shared" si="0"/>
        <v>0.95548651984714139</v>
      </c>
    </row>
    <row r="16" spans="2:17" ht="17.25" customHeight="1">
      <c r="B16" s="122" t="s">
        <v>327</v>
      </c>
      <c r="C16" s="77" t="s">
        <v>328</v>
      </c>
      <c r="D16" s="78">
        <f>VLOOKUP("新豐6線",'0303 4度C'!$A:$T,19,0)</f>
        <v>0.70833333333333337</v>
      </c>
      <c r="E16" s="79">
        <f>VLOOKUP("新豐2線",'0303 4度C'!$A:$T,19,0)</f>
        <v>0.20833333333333334</v>
      </c>
      <c r="F16" s="79">
        <f>VLOOKUP("新豐5線",'0303 4度C'!$A:$T,19,0)</f>
        <v>0.20833333333333334</v>
      </c>
      <c r="G16" s="79">
        <f>VLOOKUP("新豐7線",'0303 4度C'!$A:$T,19,0)</f>
        <v>0.20833333333333334</v>
      </c>
      <c r="H16" s="79">
        <f>VLOOKUP("新豐3線",'0303 4度C'!$A:$T,19,0)</f>
        <v>8.3333333333333329E-2</v>
      </c>
      <c r="I16" s="79">
        <f>VLOOKUP("新豐1線",'0303 4度C'!$A:$T,19,0)</f>
        <v>0.20833333333333334</v>
      </c>
      <c r="J16" s="80">
        <f>VLOOKUP("新豐10線",'0303 4度C'!$A:$T,19,0)</f>
        <v>0.20833333333333334</v>
      </c>
      <c r="K16" s="81">
        <f>VLOOKUP("新豐8線",'0303 4度C'!$A:$T,19,0)</f>
        <v>8.3333333333333329E-2</v>
      </c>
      <c r="L16" s="82">
        <f>VLOOKUP("新豐9線",'0303 4度C'!$A:$T,19,0)</f>
        <v>8.3333333333333329E-2</v>
      </c>
      <c r="M16" s="83">
        <f>VLOOKUP("新豐4線",'0303 4度C'!$A:$T,19,0)</f>
        <v>8.3333333333333329E-2</v>
      </c>
    </row>
    <row r="17" spans="2:13" ht="17.25" customHeight="1">
      <c r="B17" s="123"/>
      <c r="C17" s="77" t="s">
        <v>329</v>
      </c>
      <c r="D17" s="81">
        <f>LOOKUP(2,1/(('0303 4度C'!$A:$A="新豐6線")*('0303 4度C'!$T:$T&lt;&gt;"")),'0303 4度C'!$T:$T)</f>
        <v>0.82847222222222217</v>
      </c>
      <c r="E17" s="79">
        <f>LOOKUP(2,1/(('0303 4度C'!$A:$A="新豐2線")*('0303 4度C'!$T:$T&lt;&gt;"")),'0303 4度C'!$T:$T)</f>
        <v>0.50694444444444442</v>
      </c>
      <c r="F17" s="79">
        <f>LOOKUP(2,1/(('0303 4度C'!$A:$A="新豐5線")*('0303 4度C'!$T:$T&lt;&gt;"")),'0303 4度C'!$T:$T)</f>
        <v>0.91041666666666665</v>
      </c>
      <c r="G17" s="79">
        <f>LOOKUP(2,1/(('0303 4度C'!$A:$A="新豐7線")*('0303 4度C'!$T:$T&lt;&gt;"")),'0303 4度C'!$T:$T)</f>
        <v>0.90347222222222223</v>
      </c>
      <c r="H17" s="79">
        <f>LOOKUP(2,1/(('0303 4度C'!$A:$A="新豐3線")*('0303 4度C'!$T:$T&lt;&gt;"")),'0303 4度C'!$T:$T)</f>
        <v>0.62569444444444433</v>
      </c>
      <c r="I17" s="79">
        <f>LOOKUP(2,1/(('0303 4度C'!$A:$A="新豐1線")*('0303 4度C'!$T:$T&lt;&gt;"")),'0303 4度C'!$T:$T)</f>
        <v>0.91319444444444442</v>
      </c>
      <c r="J17" s="80">
        <f>LOOKUP(2,1/(('0303 4度C'!$A:$A="新豐10線")*('0303 4度C'!$T:$T&lt;&gt;"")),'0303 4度C'!$T:$T)</f>
        <v>0.47499999999999998</v>
      </c>
      <c r="K17" s="78">
        <f>LOOKUP(2,1/(('0303 4度C'!$A:$A="新豐8線")*('0303 4度C'!$T:$T&lt;&gt;"")),'0303 4度C'!$T:$T)</f>
        <v>0.69861111111111107</v>
      </c>
      <c r="L17" s="79">
        <f>LOOKUP(2,1/(('0303 4度C'!$A:$A="新豐9線")*('0303 4度C'!$T:$T&lt;&gt;"")),'0303 4度C'!$T:$T)</f>
        <v>0.72430555555555554</v>
      </c>
      <c r="M17" s="80">
        <f>LOOKUP(2,1/(('0303 4度C'!$A:$A="新豐4線")*('0303 4度C'!$T:$T&lt;&gt;"")),'0303 4度C'!$T:$T)</f>
        <v>0.57430555555555551</v>
      </c>
    </row>
    <row r="18" spans="2:13" ht="17.25" customHeight="1">
      <c r="B18" s="101" t="s">
        <v>178</v>
      </c>
      <c r="C18" s="84" t="s">
        <v>330</v>
      </c>
      <c r="D18" s="85">
        <f>SUMIFS('0303 4度C'!$Y:$Y,'0303 4度C'!$A:$A,"新豐6線",'0303 4度C'!$B:$B,"平均")</f>
        <v>0</v>
      </c>
      <c r="E18" s="86">
        <f>SUMIFS('0303 4度C'!$Y:$Y,'0303 4度C'!$A:$A,"新豐2線",'0303 4度C'!$B:$B,"平均")</f>
        <v>0</v>
      </c>
      <c r="F18" s="86">
        <f>SUMIFS('0303 4度C'!$Y:$Y,'0303 4度C'!$A:$A,"新豐5線",'0303 4度C'!$B:$B,"平均")</f>
        <v>0</v>
      </c>
      <c r="G18" s="86">
        <f>SUMIFS('0303 4度C'!$Y:$Y,'0303 4度C'!$A:$A,"新豐7線",'0303 4度C'!$B:$B,"平均")</f>
        <v>0</v>
      </c>
      <c r="H18" s="86">
        <f>SUMIFS('0303 4度C'!$Y:$Y,'0303 4度C'!$A:$A,"新豐3線",'0303 4度C'!$B:$B,"平均")</f>
        <v>0</v>
      </c>
      <c r="I18" s="86">
        <f>SUMIFS('0303 4度C'!$Y:$Y,'0303 4度C'!$A:$A,"新豐1線",'0303 4度C'!$B:$B,"平均")</f>
        <v>0</v>
      </c>
      <c r="J18" s="87">
        <f>SUMIFS('0303 4度C'!$Y:$Y,'0303 4度C'!$A:$A,"新豐10線",'0303 4度C'!$B:$B,"平均")</f>
        <v>0</v>
      </c>
      <c r="K18" s="88">
        <f>SUMIFS('0303 4度C'!$Y:$Y,'0303 4度C'!$A:$A,"新豐8線",'0303 4度C'!$B:$B,"平均")</f>
        <v>0</v>
      </c>
      <c r="L18" s="86">
        <f>SUMIFS('0303 4度C'!$Y:$Y,'0303 4度C'!$A:$A,"新豐9線",'0303 4度C'!$B:$B,"平均")</f>
        <v>0</v>
      </c>
      <c r="M18" s="87">
        <f>SUMIFS('0303 4度C'!$Y:$Y,'0303 4度C'!$A:$A,"新豐4線",'0303 4度C'!$B:$B,"平均")</f>
        <v>0</v>
      </c>
    </row>
    <row r="19" spans="2:13" ht="17.25" customHeight="1">
      <c r="B19" s="102"/>
      <c r="C19" s="84" t="s">
        <v>331</v>
      </c>
      <c r="D19" s="85">
        <f>SUMIFS('0303 4度C'!$Z:$Z,'0303 4度C'!$A:$A,"新豐6線",'0303 4度C'!$B:$B,"平均")</f>
        <v>0</v>
      </c>
      <c r="E19" s="86">
        <f>SUMIFS('0303 4度C'!$Z:$Z,'0303 4度C'!$A:$A,"新豐2線",'0303 4度C'!$B:$B,"平均")</f>
        <v>0</v>
      </c>
      <c r="F19" s="86">
        <f>SUMIFS('0303 4度C'!$Z:$Z,'0303 4度C'!$A:$A,"新豐5線",'0303 4度C'!$B:$B,"平均")</f>
        <v>0</v>
      </c>
      <c r="G19" s="86">
        <f>SUMIFS('0303 4度C'!$Z:$Z,'0303 4度C'!$A:$A,"新豐7線",'0303 4度C'!$B:$B,"平均")</f>
        <v>0</v>
      </c>
      <c r="H19" s="86">
        <f>SUMIFS('0303 4度C'!$Z:$Z,'0303 4度C'!$A:$A,"新豐3線",'0303 4度C'!$B:$B,"平均")</f>
        <v>0</v>
      </c>
      <c r="I19" s="86">
        <f>SUMIFS('0303 4度C'!$Z:$Z,'0303 4度C'!$A:$A,"新豐1線",'0303 4度C'!$B:$B,"平均")</f>
        <v>0</v>
      </c>
      <c r="J19" s="87">
        <f>SUMIFS('0303 4度C'!$Z:$Z,'0303 4度C'!$A:$A,"新豐10線",'0303 4度C'!$B:$B,"平均")</f>
        <v>0</v>
      </c>
      <c r="K19" s="88">
        <f>SUMIFS('0303 4度C'!$Z:$Z,'0303 4度C'!$A:$A,"新豐8線",'0303 4度C'!$B:$B,"平均")</f>
        <v>0</v>
      </c>
      <c r="L19" s="86">
        <f>SUMIFS('0303 4度C'!$Z:$Z,'0303 4度C'!$A:$A,"新豐9線",'0303 4度C'!$B:$B,"平均")</f>
        <v>0</v>
      </c>
      <c r="M19" s="87">
        <f>SUMIFS('0303 4度C'!$Z:$Z,'0303 4度C'!$A:$A,"新豐4線",'0303 4度C'!$B:$B,"平均")</f>
        <v>0</v>
      </c>
    </row>
    <row r="20" spans="2:13" ht="17.25" customHeight="1">
      <c r="B20" s="101" t="s">
        <v>332</v>
      </c>
      <c r="C20" s="84" t="s">
        <v>333</v>
      </c>
      <c r="D20" s="85">
        <f>SUMIFS('0303 4度C'!$AC:$AC,'0303 4度C'!$A:$A,"新豐6線",'0303 4度C'!$B:$B,"平均")</f>
        <v>5</v>
      </c>
      <c r="E20" s="86">
        <f>SUMIFS('0303 4度C'!$AC:$AC,'0303 4度C'!$A:$A,"新豐2線",'0303 4度C'!$B:$B,"平均")</f>
        <v>2</v>
      </c>
      <c r="F20" s="86">
        <f>SUMIFS('0303 4度C'!$AC:$AC,'0303 4度C'!$A:$A,"新豐5線",'0303 4度C'!$B:$B,"平均")</f>
        <v>5</v>
      </c>
      <c r="G20" s="86">
        <f>SUMIFS('0303 4度C'!$AC:$AC,'0303 4度C'!$A:$A,"新豐7線",'0303 4度C'!$B:$B,"平均")</f>
        <v>6</v>
      </c>
      <c r="H20" s="86">
        <f>SUMIFS('0303 4度C'!$AC:$AC,'0303 4度C'!$A:$A,"新豐3線",'0303 4度C'!$B:$B,"平均")</f>
        <v>7</v>
      </c>
      <c r="I20" s="86">
        <f>SUMIFS('0303 4度C'!$AC:$AC,'0303 4度C'!$A:$A,"新豐1線",'0303 4度C'!$B:$B,"平均")</f>
        <v>9</v>
      </c>
      <c r="J20" s="87">
        <f>SUMIFS('0303 4度C'!$AC:$AC,'0303 4度C'!$A:$A,"新豐10線",'0303 4度C'!$B:$B,"平均")</f>
        <v>5</v>
      </c>
      <c r="K20" s="88">
        <f>SUMIFS('0303 4度C'!$AC:$AC,'0303 4度C'!$A:$A,"新豐8線",'0303 4度C'!$B:$B,"平均")</f>
        <v>8</v>
      </c>
      <c r="L20" s="86">
        <f>SUMIFS('0303 4度C'!$AC:$AC,'0303 4度C'!$A:$A,"新豐9線",'0303 4度C'!$B:$B,"平均")</f>
        <v>7</v>
      </c>
      <c r="M20" s="87">
        <f>SUMIFS('0303 4度C'!$AC:$AC,'0303 4度C'!$A:$A,"新豐4線",'0303 4度C'!$B:$B,"平均")</f>
        <v>5</v>
      </c>
    </row>
    <row r="21" spans="2:13" ht="17.25" customHeight="1">
      <c r="B21" s="102"/>
      <c r="C21" s="84" t="s">
        <v>334</v>
      </c>
      <c r="D21" s="85">
        <f>SUMIFS('0303 4度C'!$AD:$AD,'0303 4度C'!$A:$A,"新豐6線",'0303 4度C'!$B:$B,"平均")</f>
        <v>0</v>
      </c>
      <c r="E21" s="86">
        <f>SUMIFS('0303 4度C'!$AD:$AD,'0303 4度C'!$A:$A,"新豐2線",'0303 4度C'!$B:$B,"平均")</f>
        <v>0</v>
      </c>
      <c r="F21" s="86">
        <f>SUMIFS('0303 4度C'!$AD:$AD,'0303 4度C'!$A:$A,"新豐5線",'0303 4度C'!$B:$B,"平均")</f>
        <v>0</v>
      </c>
      <c r="G21" s="86">
        <f>SUMIFS('0303 4度C'!$AD:$AD,'0303 4度C'!$A:$A,"新豐7線",'0303 4度C'!$B:$B,"平均")</f>
        <v>0</v>
      </c>
      <c r="H21" s="86">
        <f>SUMIFS('0303 4度C'!$AD:$AD,'0303 4度C'!$A:$A,"新豐3線",'0303 4度C'!$B:$B,"平均")</f>
        <v>0</v>
      </c>
      <c r="I21" s="86">
        <f>SUMIFS('0303 4度C'!$AD:$AD,'0303 4度C'!$A:$A,"新豐1線",'0303 4度C'!$B:$B,"平均")</f>
        <v>0</v>
      </c>
      <c r="J21" s="87">
        <f>SUMIFS('0303 4度C'!$AD:$AD,'0303 4度C'!$A:$A,"新豐10線",'0303 4度C'!$B:$B,"平均")</f>
        <v>0</v>
      </c>
      <c r="K21" s="88">
        <f>SUMIFS('0303 4度C'!$AD:$AD,'0303 4度C'!$A:$A,"新豐8線",'0303 4度C'!$B:$B,"平均")</f>
        <v>0</v>
      </c>
      <c r="L21" s="86">
        <f>SUMIFS('0303 4度C'!$AD:$AD,'0303 4度C'!$A:$A,"新豐9線",'0303 4度C'!$B:$B,"平均")</f>
        <v>0</v>
      </c>
      <c r="M21" s="87">
        <f>SUMIFS('0303 4度C'!$AD:$AD,'0303 4度C'!$A:$A,"新豐4線",'0303 4度C'!$B:$B,"平均")</f>
        <v>0</v>
      </c>
    </row>
    <row r="22" spans="2:13" ht="17.25" customHeight="1">
      <c r="B22" s="103" t="s">
        <v>335</v>
      </c>
      <c r="C22" s="104"/>
      <c r="D22" s="89">
        <f>SUMIFS('0303 4度C'!$I:$I,'0303 4度C'!$A:$A,"新豐6線",'0303 4度C'!$B:$B,"平均")</f>
        <v>17.8</v>
      </c>
      <c r="E22" s="90">
        <f>SUMIFS('0303 4度C'!$I:$I,'0303 4度C'!$A:$A,"新豐2線",'0303 4度C'!$B:$B,"平均")</f>
        <v>18</v>
      </c>
      <c r="F22" s="90">
        <f>SUMIFS('0303 4度C'!$I:$I,'0303 4度C'!$A:$A,"新豐5線",'0303 4度C'!$B:$B,"平均")</f>
        <v>17.399999999999999</v>
      </c>
      <c r="G22" s="90">
        <f>SUMIFS('0303 4度C'!$I:$I,'0303 4度C'!$A:$A,"新豐7線",'0303 4度C'!$B:$B,"平均")</f>
        <v>15</v>
      </c>
      <c r="H22" s="90">
        <f>SUMIFS('0303 4度C'!$I:$I,'0303 4度C'!$A:$A,"新豐3線",'0303 4度C'!$B:$B,"平均")</f>
        <v>9.2857142857142865</v>
      </c>
      <c r="I22" s="90">
        <f>SUMIFS('0303 4度C'!$I:$I,'0303 4度C'!$A:$A,"新豐1線",'0303 4度C'!$B:$B,"平均")</f>
        <v>18.666666666666668</v>
      </c>
      <c r="J22" s="91">
        <f>SUMIFS('0303 4度C'!$I:$I,'0303 4度C'!$A:$A,"新豐10線",'0303 4度C'!$B:$B,"平均")</f>
        <v>10</v>
      </c>
      <c r="K22" s="89">
        <f>SUMIFS('0303 4度C'!$I:$I,'0303 4度C'!$A:$A,"新豐8線",'0303 4度C'!$B:$B,"平均")</f>
        <v>18.125</v>
      </c>
      <c r="L22" s="90">
        <f>SUMIFS('0303 4度C'!$I:$I,'0303 4度C'!$A:$A,"新豐9線",'0303 4度C'!$B:$B,"平均")</f>
        <v>17.285714285714285</v>
      </c>
      <c r="M22" s="91">
        <f>SUMIFS('0303 4度C'!$I:$I,'0303 4度C'!$A:$A,"新豐4線",'0303 4度C'!$B:$B,"平均")</f>
        <v>15.2</v>
      </c>
    </row>
    <row r="23" spans="2:13" ht="17.25" customHeight="1">
      <c r="B23" s="103" t="s">
        <v>336</v>
      </c>
      <c r="C23" s="104"/>
      <c r="D23" s="92" t="s">
        <v>185</v>
      </c>
      <c r="E23" s="93" t="s">
        <v>186</v>
      </c>
      <c r="F23" s="93" t="s">
        <v>337</v>
      </c>
      <c r="G23" s="93" t="s">
        <v>338</v>
      </c>
      <c r="H23" s="93" t="s">
        <v>188</v>
      </c>
      <c r="I23" s="93" t="s">
        <v>185</v>
      </c>
      <c r="J23" s="94" t="s">
        <v>188</v>
      </c>
      <c r="K23" s="92" t="s">
        <v>189</v>
      </c>
      <c r="L23" s="93" t="s">
        <v>189</v>
      </c>
      <c r="M23" s="94" t="s">
        <v>339</v>
      </c>
    </row>
    <row r="24" spans="2:13" ht="17.25" customHeight="1">
      <c r="B24" s="103" t="s">
        <v>340</v>
      </c>
      <c r="C24" s="104"/>
      <c r="D24" s="92"/>
      <c r="E24" s="93"/>
      <c r="F24" s="93" t="s">
        <v>341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342</v>
      </c>
      <c r="C25" s="106"/>
      <c r="D25" s="95"/>
      <c r="E25" s="96" t="s">
        <v>343</v>
      </c>
      <c r="F25" s="99" t="s">
        <v>344</v>
      </c>
      <c r="G25" s="100"/>
      <c r="H25" s="96" t="s">
        <v>345</v>
      </c>
      <c r="I25" s="96" t="s">
        <v>346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AG74"/>
  <sheetViews>
    <sheetView topLeftCell="P1"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347</v>
      </c>
      <c r="B1" s="1"/>
      <c r="C1" s="2" t="s">
        <v>348</v>
      </c>
      <c r="D1" s="3">
        <f>SUM(F5:F73)</f>
        <v>177525</v>
      </c>
      <c r="E1" s="4" t="s">
        <v>349</v>
      </c>
      <c r="F1" s="1">
        <f>SUM(G5:G73)</f>
        <v>5786860.5299999993</v>
      </c>
      <c r="G1" s="1" t="s">
        <v>350</v>
      </c>
      <c r="H1" s="5">
        <f>L10+L13+L51+L61+L19+L67+L35+L43+L26+L73</f>
        <v>156.76309523809522</v>
      </c>
      <c r="I1" s="212" t="s">
        <v>351</v>
      </c>
      <c r="J1" s="212"/>
      <c r="K1" s="212"/>
      <c r="L1" s="212" t="s">
        <v>352</v>
      </c>
      <c r="M1" s="212"/>
      <c r="N1" s="212"/>
      <c r="O1" s="212" t="s">
        <v>353</v>
      </c>
      <c r="P1" s="212"/>
      <c r="Q1" s="212"/>
      <c r="R1" s="212"/>
      <c r="S1" s="212" t="s">
        <v>354</v>
      </c>
      <c r="T1" s="212"/>
      <c r="U1" s="212"/>
      <c r="V1" s="212"/>
      <c r="W1" s="212"/>
      <c r="X1" s="212"/>
      <c r="Y1" s="6" t="s">
        <v>355</v>
      </c>
      <c r="Z1" s="7" t="s">
        <v>356</v>
      </c>
      <c r="AA1" s="213" t="s">
        <v>357</v>
      </c>
      <c r="AB1" s="213"/>
      <c r="AC1" s="42" t="s">
        <v>355</v>
      </c>
      <c r="AD1" s="7" t="s">
        <v>358</v>
      </c>
      <c r="AE1" s="212" t="s">
        <v>359</v>
      </c>
      <c r="AF1" s="214"/>
      <c r="AG1" s="214"/>
    </row>
    <row r="2" spans="1:33" ht="26.25" customHeight="1">
      <c r="A2" s="33">
        <v>46084</v>
      </c>
      <c r="B2" s="34" t="s">
        <v>303</v>
      </c>
      <c r="C2" s="2" t="s">
        <v>360</v>
      </c>
      <c r="D2" s="9">
        <f>AVERAGE(N10,N13,N51,N61,N19,N67,N26,N35,N43,N73)</f>
        <v>143.9013457947749</v>
      </c>
      <c r="E2" s="10" t="s">
        <v>14</v>
      </c>
      <c r="F2" s="11">
        <f>F1/D1</f>
        <v>32.597439966201939</v>
      </c>
      <c r="G2" s="1" t="s">
        <v>361</v>
      </c>
      <c r="H2" s="12">
        <f>COUNT(H5:H73)</f>
        <v>9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SUM(Y10+Y13+Y19+Y26+Y35+Y43+Y51+Y61+Y67+Y73)</f>
        <v>0</v>
      </c>
      <c r="Z2" s="13">
        <f>SUM(Z10+Z13+Z19+Z26+Z35+Z43+Z51+Z61+Z67+Z73)</f>
        <v>0</v>
      </c>
      <c r="AA2" s="213"/>
      <c r="AB2" s="213"/>
      <c r="AC2" s="13">
        <v>59</v>
      </c>
      <c r="AD2" s="13">
        <f>SUM(AD10+AD13+AD19+AD26+AD35+AD43+AD51+AD61+AD67+AD73)</f>
        <v>0</v>
      </c>
      <c r="AE2" s="214"/>
      <c r="AF2" s="214"/>
      <c r="AG2" s="214"/>
    </row>
    <row r="3" spans="1:33" ht="40.5" customHeight="1">
      <c r="A3" s="162" t="s">
        <v>362</v>
      </c>
      <c r="B3" s="162" t="s">
        <v>363</v>
      </c>
      <c r="C3" s="162" t="s">
        <v>364</v>
      </c>
      <c r="D3" s="162"/>
      <c r="E3" s="210" t="s">
        <v>365</v>
      </c>
      <c r="F3" s="162" t="s">
        <v>366</v>
      </c>
      <c r="G3" s="210" t="s">
        <v>367</v>
      </c>
      <c r="H3" s="204" t="s">
        <v>368</v>
      </c>
      <c r="I3" s="202" t="s">
        <v>369</v>
      </c>
      <c r="J3" s="199" t="s">
        <v>370</v>
      </c>
      <c r="K3" s="209" t="s">
        <v>360</v>
      </c>
      <c r="L3" s="202" t="s">
        <v>369</v>
      </c>
      <c r="M3" s="199" t="s">
        <v>370</v>
      </c>
      <c r="N3" s="209" t="s">
        <v>360</v>
      </c>
      <c r="O3" s="202" t="s">
        <v>369</v>
      </c>
      <c r="P3" s="209" t="s">
        <v>360</v>
      </c>
      <c r="Q3" s="200" t="s">
        <v>371</v>
      </c>
      <c r="R3" s="178" t="s">
        <v>372</v>
      </c>
      <c r="S3" s="162" t="s">
        <v>27</v>
      </c>
      <c r="T3" s="162"/>
      <c r="U3" s="204" t="s">
        <v>28</v>
      </c>
      <c r="V3" s="204" t="s">
        <v>373</v>
      </c>
      <c r="W3" s="162" t="s">
        <v>374</v>
      </c>
      <c r="X3" s="162"/>
      <c r="Y3" s="205" t="s">
        <v>375</v>
      </c>
      <c r="Z3" s="166"/>
      <c r="AA3" s="206" t="s">
        <v>376</v>
      </c>
      <c r="AB3" s="207"/>
      <c r="AC3" s="205" t="s">
        <v>377</v>
      </c>
      <c r="AD3" s="166"/>
      <c r="AE3" s="199" t="s">
        <v>378</v>
      </c>
      <c r="AF3" s="200" t="s">
        <v>379</v>
      </c>
      <c r="AG3" s="178" t="s">
        <v>372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380</v>
      </c>
      <c r="X4" s="4" t="s">
        <v>381</v>
      </c>
      <c r="Y4" s="14" t="s">
        <v>382</v>
      </c>
      <c r="Z4" s="14" t="s">
        <v>383</v>
      </c>
      <c r="AA4" s="208"/>
      <c r="AB4" s="207"/>
      <c r="AC4" s="14" t="s">
        <v>384</v>
      </c>
      <c r="AD4" s="14" t="s">
        <v>385</v>
      </c>
      <c r="AE4" s="199"/>
      <c r="AF4" s="200"/>
      <c r="AG4" s="178"/>
    </row>
    <row r="5" spans="1:33">
      <c r="A5" s="201" t="s">
        <v>386</v>
      </c>
      <c r="B5" s="35" t="s">
        <v>78</v>
      </c>
      <c r="C5" s="203" t="s">
        <v>79</v>
      </c>
      <c r="D5" s="203"/>
      <c r="E5" s="35">
        <v>50.67</v>
      </c>
      <c r="F5" s="4">
        <v>1571</v>
      </c>
      <c r="G5" s="4">
        <f t="shared" ref="G5:G9" si="0">E5*F5</f>
        <v>79602.570000000007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1923.6734693877556</v>
      </c>
      <c r="N5" s="16">
        <f t="shared" ref="N5:N68" si="3">M5/L5</f>
        <v>113.1572629051621</v>
      </c>
      <c r="O5" s="18">
        <f t="shared" ref="O5:O68" si="4">L5-I5</f>
        <v>0</v>
      </c>
      <c r="P5" s="19">
        <f t="shared" ref="P5:P68" si="5">N5-K5</f>
        <v>-4.4897959183673066</v>
      </c>
      <c r="Q5" s="20">
        <f t="shared" ref="Q5:Q68" si="6">N5/K5</f>
        <v>0.96183673469387787</v>
      </c>
      <c r="R5" s="170">
        <f>Q10</f>
        <v>0.96242953181272595</v>
      </c>
      <c r="S5" s="27">
        <v>0.70833333333333337</v>
      </c>
      <c r="T5" s="27">
        <v>0.74236111111111114</v>
      </c>
      <c r="U5" s="4"/>
      <c r="V5" s="21">
        <f t="shared" ref="V5:V9" si="7">(T5-S5)*24*60</f>
        <v>48.999999999999986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0" si="8">M5-J5</f>
        <v>-76.326530612244369</v>
      </c>
      <c r="AF5" s="20">
        <f t="shared" ref="AF5:AF68" si="9">M5/J5</f>
        <v>0.96183673469387787</v>
      </c>
      <c r="AG5" s="170">
        <f>AF10</f>
        <v>0.96242953181272584</v>
      </c>
    </row>
    <row r="6" spans="1:33">
      <c r="A6" s="202" t="s">
        <v>386</v>
      </c>
      <c r="B6" s="35" t="s">
        <v>78</v>
      </c>
      <c r="C6" s="203" t="s">
        <v>80</v>
      </c>
      <c r="D6" s="203"/>
      <c r="E6" s="35">
        <v>54.09</v>
      </c>
      <c r="F6" s="4">
        <v>1332</v>
      </c>
      <c r="G6" s="4">
        <f t="shared" si="0"/>
        <v>72047.88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1902.8571428571422</v>
      </c>
      <c r="N6" s="16">
        <f t="shared" si="3"/>
        <v>100.1503759398496</v>
      </c>
      <c r="O6" s="18">
        <f t="shared" si="4"/>
        <v>0</v>
      </c>
      <c r="P6" s="19">
        <f t="shared" si="5"/>
        <v>-5.1127819548872395</v>
      </c>
      <c r="Q6" s="20">
        <f t="shared" si="6"/>
        <v>0.95142857142857118</v>
      </c>
      <c r="R6" s="170"/>
      <c r="S6" s="27">
        <v>0.74791666666666667</v>
      </c>
      <c r="T6" s="27">
        <v>0.77708333333333335</v>
      </c>
      <c r="U6" s="4">
        <f t="shared" ref="U6:U9" si="10">IF(S6=TIME(17,0,0),"",(S6-T5)*24*60)</f>
        <v>7.9999999999999716</v>
      </c>
      <c r="V6" s="21">
        <f t="shared" si="7"/>
        <v>42.000000000000014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-97.142857142857792</v>
      </c>
      <c r="AF6" s="20">
        <f t="shared" si="9"/>
        <v>0.95142857142857107</v>
      </c>
      <c r="AG6" s="170"/>
    </row>
    <row r="7" spans="1:33">
      <c r="A7" s="202" t="s">
        <v>386</v>
      </c>
      <c r="B7" s="35" t="s">
        <v>78</v>
      </c>
      <c r="C7" s="197" t="s">
        <v>81</v>
      </c>
      <c r="D7" s="198"/>
      <c r="E7" s="35">
        <v>50.29</v>
      </c>
      <c r="F7" s="4">
        <v>520</v>
      </c>
      <c r="G7" s="4">
        <f t="shared" si="0"/>
        <v>26150.799999999999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1950.0000000000068</v>
      </c>
      <c r="N7" s="16">
        <f t="shared" si="3"/>
        <v>121.87500000000043</v>
      </c>
      <c r="O7" s="18">
        <f t="shared" si="4"/>
        <v>0</v>
      </c>
      <c r="P7" s="19">
        <f t="shared" si="5"/>
        <v>-3.1249999999995737</v>
      </c>
      <c r="Q7" s="20">
        <f t="shared" si="6"/>
        <v>0.97500000000000342</v>
      </c>
      <c r="R7" s="170"/>
      <c r="S7" s="27">
        <v>0.78125</v>
      </c>
      <c r="T7" s="27">
        <v>0.79236111111111107</v>
      </c>
      <c r="U7" s="4">
        <f t="shared" si="10"/>
        <v>5.9999999999999787</v>
      </c>
      <c r="V7" s="21">
        <f t="shared" si="7"/>
        <v>15.999999999999943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-49.999999999993179</v>
      </c>
      <c r="AF7" s="20">
        <f t="shared" si="9"/>
        <v>0.97500000000000342</v>
      </c>
      <c r="AG7" s="170"/>
    </row>
    <row r="8" spans="1:33">
      <c r="A8" s="202" t="s">
        <v>386</v>
      </c>
      <c r="B8" s="35" t="s">
        <v>78</v>
      </c>
      <c r="C8" s="197" t="s">
        <v>82</v>
      </c>
      <c r="D8" s="198"/>
      <c r="E8" s="35">
        <v>50.67</v>
      </c>
      <c r="F8" s="4">
        <v>536</v>
      </c>
      <c r="G8" s="4">
        <f t="shared" si="0"/>
        <v>27159.120000000003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1891.7647058823597</v>
      </c>
      <c r="N8" s="16">
        <f t="shared" si="3"/>
        <v>90.084033613445698</v>
      </c>
      <c r="O8" s="18">
        <f t="shared" si="4"/>
        <v>0</v>
      </c>
      <c r="P8" s="19">
        <f t="shared" si="5"/>
        <v>-5.1540616246495432</v>
      </c>
      <c r="Q8" s="20">
        <f t="shared" si="6"/>
        <v>0.94588235294117984</v>
      </c>
      <c r="R8" s="170"/>
      <c r="S8" s="27">
        <v>0.79652777777777772</v>
      </c>
      <c r="T8" s="27">
        <v>0.80833333333333324</v>
      </c>
      <c r="U8" s="4">
        <f t="shared" si="10"/>
        <v>5.9999999999999787</v>
      </c>
      <c r="V8" s="21">
        <f t="shared" si="7"/>
        <v>16.99999999999994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-108.23529411764025</v>
      </c>
      <c r="AF8" s="20">
        <f t="shared" si="9"/>
        <v>0.94588235294117984</v>
      </c>
      <c r="AG8" s="170"/>
    </row>
    <row r="9" spans="1:33">
      <c r="A9" s="202" t="s">
        <v>386</v>
      </c>
      <c r="B9" s="35" t="s">
        <v>78</v>
      </c>
      <c r="C9" s="197" t="s">
        <v>83</v>
      </c>
      <c r="D9" s="198"/>
      <c r="E9" s="35">
        <v>50.67</v>
      </c>
      <c r="F9" s="4">
        <v>815</v>
      </c>
      <c r="G9" s="4">
        <f t="shared" si="0"/>
        <v>41296.050000000003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1955.9999999999945</v>
      </c>
      <c r="N9" s="16">
        <f t="shared" si="3"/>
        <v>122.24999999999966</v>
      </c>
      <c r="O9" s="18">
        <f t="shared" si="4"/>
        <v>0</v>
      </c>
      <c r="P9" s="19">
        <f t="shared" si="5"/>
        <v>-2.7500000000003411</v>
      </c>
      <c r="Q9" s="20">
        <f t="shared" si="6"/>
        <v>0.97799999999999732</v>
      </c>
      <c r="R9" s="170"/>
      <c r="S9" s="27">
        <v>0.81111111111111101</v>
      </c>
      <c r="T9" s="27">
        <v>0.82847222222222217</v>
      </c>
      <c r="U9" s="4">
        <f t="shared" si="10"/>
        <v>3.9999999999999858</v>
      </c>
      <c r="V9" s="21">
        <f t="shared" si="7"/>
        <v>25.000000000000071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-44.000000000005457</v>
      </c>
      <c r="AF9" s="20">
        <f t="shared" si="9"/>
        <v>0.97799999999999732</v>
      </c>
      <c r="AG9" s="170"/>
    </row>
    <row r="10" spans="1:33">
      <c r="A10" s="202" t="s">
        <v>386</v>
      </c>
      <c r="B10" s="35" t="s">
        <v>387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1924.8590636254517</v>
      </c>
      <c r="N10" s="16">
        <f t="shared" si="3"/>
        <v>108.13814964187931</v>
      </c>
      <c r="O10" s="18">
        <f t="shared" si="4"/>
        <v>0</v>
      </c>
      <c r="P10" s="19">
        <f t="shared" si="5"/>
        <v>-4.2214009199184375</v>
      </c>
      <c r="Q10" s="20">
        <f t="shared" si="6"/>
        <v>0.96242953181272595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-75.140936374548346</v>
      </c>
      <c r="AF10" s="20">
        <f t="shared" si="9"/>
        <v>0.96242953181272584</v>
      </c>
      <c r="AG10" s="170"/>
    </row>
    <row r="11" spans="1:33" ht="15.75" customHeight="1">
      <c r="A11" s="196" t="s">
        <v>388</v>
      </c>
      <c r="B11" s="35" t="s">
        <v>84</v>
      </c>
      <c r="C11" s="197" t="s">
        <v>85</v>
      </c>
      <c r="D11" s="198"/>
      <c r="E11" s="35">
        <v>39.619999999999997</v>
      </c>
      <c r="F11" s="4">
        <v>3892</v>
      </c>
      <c r="G11" s="4">
        <f t="shared" ref="G11:G12" si="11">E11*F11</f>
        <v>154201.03999999998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1432.638036809816</v>
      </c>
      <c r="N11" s="16">
        <f t="shared" si="3"/>
        <v>75.402001937358733</v>
      </c>
      <c r="O11" s="18">
        <f t="shared" si="4"/>
        <v>0</v>
      </c>
      <c r="P11" s="19">
        <f t="shared" si="5"/>
        <v>-3.545366483693897</v>
      </c>
      <c r="Q11" s="20">
        <f t="shared" si="6"/>
        <v>0.95509202453987729</v>
      </c>
      <c r="R11" s="170">
        <f>Q13</f>
        <v>0.95418723364398472</v>
      </c>
      <c r="S11" s="27">
        <v>0.20833333333333334</v>
      </c>
      <c r="T11" s="27">
        <v>0.3215277777777778</v>
      </c>
      <c r="U11" s="4"/>
      <c r="V11" s="21">
        <f t="shared" ref="V11:V12" si="13">(T11-S11)*24*60</f>
        <v>163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-67.361963190184042</v>
      </c>
      <c r="AF11" s="20">
        <f t="shared" si="9"/>
        <v>0.95509202453987729</v>
      </c>
      <c r="AG11" s="170">
        <f>AF13</f>
        <v>0.95418723364398461</v>
      </c>
    </row>
    <row r="12" spans="1:33" ht="15.75" customHeight="1">
      <c r="A12" s="196" t="s">
        <v>388</v>
      </c>
      <c r="B12" s="35" t="s">
        <v>84</v>
      </c>
      <c r="C12" s="197" t="s">
        <v>86</v>
      </c>
      <c r="D12" s="198"/>
      <c r="E12" s="35">
        <v>39.799999999999997</v>
      </c>
      <c r="F12" s="4">
        <v>6244</v>
      </c>
      <c r="G12" s="4">
        <f t="shared" si="11"/>
        <v>248511.19999999998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1429.9236641221378</v>
      </c>
      <c r="N12" s="16">
        <f t="shared" si="3"/>
        <v>84.113156713066928</v>
      </c>
      <c r="O12" s="18">
        <f t="shared" si="4"/>
        <v>0</v>
      </c>
      <c r="P12" s="19">
        <f t="shared" si="5"/>
        <v>-4.1221374045801298</v>
      </c>
      <c r="Q12" s="20">
        <f t="shared" si="6"/>
        <v>0.95328244274809182</v>
      </c>
      <c r="R12" s="170"/>
      <c r="S12" s="27">
        <v>0.32500000000000001</v>
      </c>
      <c r="T12" s="27">
        <v>0.50694444444444442</v>
      </c>
      <c r="U12" s="4">
        <f t="shared" ref="U12" si="14">IF(S12=TIME(17,0,0),"",(S12-T11)*24*60)</f>
        <v>4.9999999999999822</v>
      </c>
      <c r="V12" s="21">
        <f t="shared" si="13"/>
        <v>261.99999999999994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-70.076335877862221</v>
      </c>
      <c r="AF12" s="20">
        <f t="shared" si="9"/>
        <v>0.95328244274809182</v>
      </c>
      <c r="AG12" s="170"/>
    </row>
    <row r="13" spans="1:33" ht="16.5" customHeight="1">
      <c r="A13" s="196" t="s">
        <v>388</v>
      </c>
      <c r="B13" s="35" t="s">
        <v>389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1431.280850465977</v>
      </c>
      <c r="N13" s="16">
        <f t="shared" si="3"/>
        <v>79.515602803665388</v>
      </c>
      <c r="O13" s="18">
        <f t="shared" si="4"/>
        <v>0</v>
      </c>
      <c r="P13" s="19">
        <f t="shared" si="5"/>
        <v>-3.8177305296679407</v>
      </c>
      <c r="Q13" s="20">
        <f t="shared" si="6"/>
        <v>0.95418723364398472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v>2</v>
      </c>
      <c r="AD13" s="30">
        <f>SUM(AD11:AD12)</f>
        <v>0</v>
      </c>
      <c r="AE13" s="18">
        <f t="shared" si="8"/>
        <v>-68.719149534023018</v>
      </c>
      <c r="AF13" s="20">
        <f t="shared" si="9"/>
        <v>0.95418723364398461</v>
      </c>
      <c r="AG13" s="170"/>
    </row>
    <row r="14" spans="1:33" ht="16.5" customHeight="1">
      <c r="A14" s="194" t="s">
        <v>390</v>
      </c>
      <c r="B14" s="4" t="s">
        <v>87</v>
      </c>
      <c r="C14" s="190" t="s">
        <v>88</v>
      </c>
      <c r="D14" s="190"/>
      <c r="E14" s="35">
        <v>41</v>
      </c>
      <c r="F14" s="4">
        <v>2778</v>
      </c>
      <c r="G14" s="4">
        <f t="shared" ref="G14:G18" si="15">E14*F14</f>
        <v>113898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8" si="16">F14/V14*60</f>
        <v>1436.8965517241377</v>
      </c>
      <c r="N14" s="16">
        <f t="shared" si="3"/>
        <v>55.26525198938991</v>
      </c>
      <c r="O14" s="18">
        <f t="shared" si="4"/>
        <v>0</v>
      </c>
      <c r="P14" s="19">
        <f t="shared" si="5"/>
        <v>-2.4270557029177837</v>
      </c>
      <c r="Q14" s="20">
        <f t="shared" si="6"/>
        <v>0.9579310344827584</v>
      </c>
      <c r="R14" s="170">
        <f>Q19</f>
        <v>0.9601385006229517</v>
      </c>
      <c r="S14" s="27">
        <v>0.20833333333333334</v>
      </c>
      <c r="T14" s="27">
        <v>0.28888888888888892</v>
      </c>
      <c r="U14" s="4"/>
      <c r="V14" s="21">
        <f t="shared" ref="V14:V18" si="17">(T14-S14)*24*60</f>
        <v>116.00000000000003</v>
      </c>
      <c r="W14" s="27"/>
      <c r="X14" s="27"/>
      <c r="Y14" s="27"/>
      <c r="Z14" s="27"/>
      <c r="AA14" s="162"/>
      <c r="AB14" s="162"/>
      <c r="AC14" s="24">
        <v>5</v>
      </c>
      <c r="AD14" s="24"/>
      <c r="AE14" s="18">
        <f t="shared" si="8"/>
        <v>-63.10344827586232</v>
      </c>
      <c r="AF14" s="20">
        <f t="shared" si="9"/>
        <v>0.9579310344827584</v>
      </c>
      <c r="AG14" s="170">
        <f>AF19</f>
        <v>0.96013850062295159</v>
      </c>
    </row>
    <row r="15" spans="1:33" ht="16.5" customHeight="1">
      <c r="A15" s="195" t="s">
        <v>391</v>
      </c>
      <c r="B15" s="4" t="s">
        <v>78</v>
      </c>
      <c r="C15" s="190" t="s">
        <v>89</v>
      </c>
      <c r="D15" s="190"/>
      <c r="E15" s="35">
        <v>50.98</v>
      </c>
      <c r="F15" s="4">
        <v>2616</v>
      </c>
      <c r="G15" s="4">
        <f t="shared" si="15"/>
        <v>133363.68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1914.146341463414</v>
      </c>
      <c r="N15" s="16">
        <f t="shared" si="3"/>
        <v>119.63414634146338</v>
      </c>
      <c r="O15" s="18">
        <f t="shared" si="4"/>
        <v>0</v>
      </c>
      <c r="P15" s="19">
        <f t="shared" si="5"/>
        <v>-5.3658536585366221</v>
      </c>
      <c r="Q15" s="20">
        <f t="shared" si="6"/>
        <v>0.95707317073170706</v>
      </c>
      <c r="R15" s="170"/>
      <c r="S15" s="27">
        <v>0.70833333333333337</v>
      </c>
      <c r="T15" s="27">
        <v>0.76527777777777783</v>
      </c>
      <c r="U15" s="4" t="str">
        <f t="shared" ref="U15:U18" si="18">IF(S15=TIME(17,0,0),"",(S15-T14)*24*60)</f>
        <v/>
      </c>
      <c r="V15" s="21">
        <f t="shared" si="17"/>
        <v>82.000000000000028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-85.853658536585954</v>
      </c>
      <c r="AF15" s="20">
        <f t="shared" si="9"/>
        <v>0.95707317073170706</v>
      </c>
      <c r="AG15" s="170"/>
    </row>
    <row r="16" spans="1:33" ht="16.5" customHeight="1">
      <c r="A16" s="195" t="s">
        <v>391</v>
      </c>
      <c r="B16" s="4" t="s">
        <v>78</v>
      </c>
      <c r="C16" s="190" t="s">
        <v>90</v>
      </c>
      <c r="D16" s="190"/>
      <c r="E16" s="35">
        <v>50.92</v>
      </c>
      <c r="F16" s="4">
        <v>900</v>
      </c>
      <c r="G16" s="4">
        <f t="shared" si="15"/>
        <v>45828</v>
      </c>
      <c r="H16" s="21">
        <v>2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1928.5714285714246</v>
      </c>
      <c r="N16" s="16">
        <f t="shared" si="3"/>
        <v>128.5714285714283</v>
      </c>
      <c r="O16" s="18">
        <f t="shared" si="4"/>
        <v>0</v>
      </c>
      <c r="P16" s="19">
        <f t="shared" si="5"/>
        <v>-4.7619047619050434</v>
      </c>
      <c r="Q16" s="20">
        <f t="shared" si="6"/>
        <v>0.96428571428571219</v>
      </c>
      <c r="R16" s="170"/>
      <c r="S16" s="27">
        <v>0.76944444444444449</v>
      </c>
      <c r="T16" s="27">
        <v>0.78888888888888897</v>
      </c>
      <c r="U16" s="4">
        <f t="shared" si="18"/>
        <v>5.9999999999999787</v>
      </c>
      <c r="V16" s="21">
        <f t="shared" si="17"/>
        <v>28.00000000000006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-71.428571428575424</v>
      </c>
      <c r="AF16" s="20">
        <f t="shared" si="9"/>
        <v>0.9642857142857123</v>
      </c>
      <c r="AG16" s="170"/>
    </row>
    <row r="17" spans="1:33" ht="16.5" customHeight="1">
      <c r="A17" s="195" t="s">
        <v>391</v>
      </c>
      <c r="B17" s="4" t="s">
        <v>78</v>
      </c>
      <c r="C17" s="190" t="s">
        <v>91</v>
      </c>
      <c r="D17" s="190"/>
      <c r="E17" s="35">
        <v>50.67</v>
      </c>
      <c r="F17" s="4">
        <v>1884</v>
      </c>
      <c r="G17" s="4">
        <f t="shared" si="15"/>
        <v>95462.28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1915.9322033898322</v>
      </c>
      <c r="N17" s="16">
        <f t="shared" si="3"/>
        <v>127.72881355932215</v>
      </c>
      <c r="O17" s="18">
        <f t="shared" si="4"/>
        <v>0</v>
      </c>
      <c r="P17" s="19">
        <f t="shared" si="5"/>
        <v>-5.6045197740111945</v>
      </c>
      <c r="Q17" s="20">
        <f t="shared" si="6"/>
        <v>0.95796610169491603</v>
      </c>
      <c r="R17" s="170"/>
      <c r="S17" s="27">
        <v>0.79305555555555562</v>
      </c>
      <c r="T17" s="27">
        <v>0.83402777777777781</v>
      </c>
      <c r="U17" s="4">
        <f t="shared" si="18"/>
        <v>5.9999999999999787</v>
      </c>
      <c r="V17" s="21">
        <f t="shared" si="17"/>
        <v>58.99999999999995</v>
      </c>
      <c r="W17" s="22">
        <f>T17</f>
        <v>0.83402777777777781</v>
      </c>
      <c r="X17" s="22">
        <f>S18</f>
        <v>0.87430555555555556</v>
      </c>
      <c r="Y17" s="22"/>
      <c r="Z17" s="22"/>
      <c r="AA17" s="162"/>
      <c r="AB17" s="162"/>
      <c r="AC17" s="24"/>
      <c r="AD17" s="24"/>
      <c r="AE17" s="18">
        <f t="shared" si="8"/>
        <v>-84.067796610167761</v>
      </c>
      <c r="AF17" s="20">
        <f t="shared" si="9"/>
        <v>0.95796610169491614</v>
      </c>
      <c r="AG17" s="170"/>
    </row>
    <row r="18" spans="1:33" ht="16.5" customHeight="1">
      <c r="A18" s="195" t="s">
        <v>391</v>
      </c>
      <c r="B18" s="4" t="s">
        <v>78</v>
      </c>
      <c r="C18" s="190" t="s">
        <v>90</v>
      </c>
      <c r="D18" s="190"/>
      <c r="E18" s="35">
        <v>50.92</v>
      </c>
      <c r="F18" s="4">
        <v>1669</v>
      </c>
      <c r="G18" s="4">
        <f t="shared" si="15"/>
        <v>84985.48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1925.7692307692316</v>
      </c>
      <c r="N18" s="16">
        <f t="shared" si="3"/>
        <v>128.38461538461544</v>
      </c>
      <c r="O18" s="18">
        <f t="shared" si="4"/>
        <v>0</v>
      </c>
      <c r="P18" s="19">
        <f t="shared" si="5"/>
        <v>-4.9487179487178992</v>
      </c>
      <c r="Q18" s="20">
        <f t="shared" si="6"/>
        <v>0.96288461538461578</v>
      </c>
      <c r="R18" s="170"/>
      <c r="S18" s="27">
        <v>0.87430555555555556</v>
      </c>
      <c r="T18" s="27">
        <v>0.91041666666666665</v>
      </c>
      <c r="U18" s="4">
        <f t="shared" si="18"/>
        <v>57.999999999999957</v>
      </c>
      <c r="V18" s="21">
        <f t="shared" si="17"/>
        <v>51.999999999999972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-74.230769230768374</v>
      </c>
      <c r="AF18" s="20">
        <f t="shared" si="9"/>
        <v>0.96288461538461578</v>
      </c>
      <c r="AG18" s="170"/>
    </row>
    <row r="19" spans="1:33" ht="16.5" customHeight="1">
      <c r="A19" s="195" t="s">
        <v>391</v>
      </c>
      <c r="B19" s="35" t="s">
        <v>387</v>
      </c>
      <c r="C19" s="171"/>
      <c r="D19" s="171"/>
      <c r="E19" s="36"/>
      <c r="F19" s="16"/>
      <c r="G19" s="16"/>
      <c r="H19" s="4"/>
      <c r="I19" s="29">
        <v>17.399999999999999</v>
      </c>
      <c r="J19" s="17">
        <v>1900</v>
      </c>
      <c r="K19" s="16">
        <f t="shared" si="1"/>
        <v>109.19540229885058</v>
      </c>
      <c r="L19" s="29">
        <v>17.399999999999999</v>
      </c>
      <c r="M19" s="17">
        <f>AVERAGE(M14:M18)</f>
        <v>1824.263151183608</v>
      </c>
      <c r="N19" s="16">
        <f t="shared" si="3"/>
        <v>104.8427098381384</v>
      </c>
      <c r="O19" s="18">
        <f t="shared" si="4"/>
        <v>0</v>
      </c>
      <c r="P19" s="19">
        <f t="shared" si="5"/>
        <v>-4.3526924607121771</v>
      </c>
      <c r="Q19" s="20">
        <f t="shared" si="6"/>
        <v>0.9601385006229517</v>
      </c>
      <c r="R19" s="170"/>
      <c r="S19" s="27"/>
      <c r="T19" s="27"/>
      <c r="U19" s="4"/>
      <c r="V19" s="21"/>
      <c r="W19" s="16"/>
      <c r="X19" s="16"/>
      <c r="Y19" s="30">
        <f>SUM(Y14:Y18)</f>
        <v>0</v>
      </c>
      <c r="Z19" s="30">
        <f>SUM(Z14:Z18)</f>
        <v>0</v>
      </c>
      <c r="AA19" s="166"/>
      <c r="AB19" s="166"/>
      <c r="AC19" s="30">
        <v>5</v>
      </c>
      <c r="AD19" s="30">
        <f>SUM(AD14:AD18)</f>
        <v>0</v>
      </c>
      <c r="AE19" s="18">
        <f t="shared" si="8"/>
        <v>-75.736848816392012</v>
      </c>
      <c r="AF19" s="20">
        <f t="shared" si="9"/>
        <v>0.96013850062295159</v>
      </c>
      <c r="AG19" s="170"/>
    </row>
    <row r="20" spans="1:33" ht="15.75" customHeight="1">
      <c r="A20" s="192" t="s">
        <v>392</v>
      </c>
      <c r="B20" s="35" t="s">
        <v>78</v>
      </c>
      <c r="C20" s="190" t="s">
        <v>92</v>
      </c>
      <c r="D20" s="190"/>
      <c r="E20" s="35">
        <v>57.73</v>
      </c>
      <c r="F20" s="4">
        <v>3098</v>
      </c>
      <c r="G20" s="4">
        <f t="shared" ref="G20:G25" si="19">E20*F20</f>
        <v>178847.53999999998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5" si="20">F20/V20*60</f>
        <v>1916.2886597938143</v>
      </c>
      <c r="N20" s="16">
        <f t="shared" si="3"/>
        <v>136.87776141384387</v>
      </c>
      <c r="O20" s="18">
        <f t="shared" si="4"/>
        <v>0</v>
      </c>
      <c r="P20" s="19">
        <f t="shared" si="5"/>
        <v>-5.9793814432989905</v>
      </c>
      <c r="Q20" s="20">
        <f t="shared" si="6"/>
        <v>0.95814432989690712</v>
      </c>
      <c r="R20" s="170">
        <f>Q26</f>
        <v>0.96066560224581055</v>
      </c>
      <c r="S20" s="27">
        <v>0.20833333333333334</v>
      </c>
      <c r="T20" s="27">
        <v>0.27569444444444446</v>
      </c>
      <c r="U20" s="4"/>
      <c r="V20" s="21">
        <f t="shared" ref="V20:V25" si="21">(T20-S20)*24*60</f>
        <v>97.000000000000014</v>
      </c>
      <c r="W20" s="27"/>
      <c r="X20" s="27"/>
      <c r="Y20" s="27"/>
      <c r="Z20" s="27"/>
      <c r="AA20" s="162"/>
      <c r="AB20" s="162"/>
      <c r="AC20" s="24">
        <v>6</v>
      </c>
      <c r="AD20" s="24"/>
      <c r="AE20" s="18">
        <f t="shared" si="8"/>
        <v>-83.711340206185696</v>
      </c>
      <c r="AF20" s="20">
        <f t="shared" si="9"/>
        <v>0.95814432989690712</v>
      </c>
      <c r="AG20" s="170">
        <f>AF26</f>
        <v>0.96066560224581043</v>
      </c>
    </row>
    <row r="21" spans="1:33" ht="15.75" customHeight="1">
      <c r="A21" s="193" t="s">
        <v>392</v>
      </c>
      <c r="B21" s="35" t="s">
        <v>78</v>
      </c>
      <c r="C21" s="190" t="s">
        <v>93</v>
      </c>
      <c r="D21" s="190"/>
      <c r="E21" s="35">
        <v>53.68</v>
      </c>
      <c r="F21" s="4">
        <v>1577</v>
      </c>
      <c r="G21" s="4">
        <f t="shared" si="19"/>
        <v>84653.36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1931.0204081632658</v>
      </c>
      <c r="N21" s="16">
        <f t="shared" si="3"/>
        <v>120.68877551020411</v>
      </c>
      <c r="O21" s="18">
        <f t="shared" si="4"/>
        <v>0</v>
      </c>
      <c r="P21" s="19">
        <f t="shared" si="5"/>
        <v>-4.3112244897958902</v>
      </c>
      <c r="Q21" s="20">
        <f t="shared" si="6"/>
        <v>0.96551020408163291</v>
      </c>
      <c r="R21" s="170"/>
      <c r="S21" s="27">
        <v>0.27986111111111112</v>
      </c>
      <c r="T21" s="27">
        <v>0.31388888888888888</v>
      </c>
      <c r="U21" s="4">
        <f t="shared" ref="U21:U25" si="22">IF(S21=TIME(17,0,0),"",(S21-T20)*24*60)</f>
        <v>5.9999999999999787</v>
      </c>
      <c r="V21" s="21">
        <f t="shared" si="21"/>
        <v>48.999999999999986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-68.979591836734244</v>
      </c>
      <c r="AF21" s="20">
        <f t="shared" si="9"/>
        <v>0.96551020408163291</v>
      </c>
      <c r="AG21" s="170"/>
    </row>
    <row r="22" spans="1:33" ht="15.75" customHeight="1">
      <c r="A22" s="193" t="s">
        <v>392</v>
      </c>
      <c r="B22" s="35" t="s">
        <v>78</v>
      </c>
      <c r="C22" s="190" t="s">
        <v>94</v>
      </c>
      <c r="D22" s="190"/>
      <c r="E22" s="35">
        <v>50.49</v>
      </c>
      <c r="F22" s="4">
        <v>2235</v>
      </c>
      <c r="G22" s="4">
        <f t="shared" si="19"/>
        <v>112845.15000000001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1915.7142857142837</v>
      </c>
      <c r="N22" s="16">
        <f t="shared" si="3"/>
        <v>127.71428571428558</v>
      </c>
      <c r="O22" s="18">
        <f t="shared" si="4"/>
        <v>0</v>
      </c>
      <c r="P22" s="19">
        <f t="shared" si="5"/>
        <v>-5.6190476190477625</v>
      </c>
      <c r="Q22" s="20">
        <f t="shared" si="6"/>
        <v>0.95785714285714174</v>
      </c>
      <c r="R22" s="170"/>
      <c r="S22" s="27">
        <v>0.70833333333333337</v>
      </c>
      <c r="T22" s="27">
        <v>0.75694444444444453</v>
      </c>
      <c r="U22" s="4" t="str">
        <f t="shared" si="22"/>
        <v/>
      </c>
      <c r="V22" s="21">
        <f t="shared" si="21"/>
        <v>70.000000000000071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-84.285714285716267</v>
      </c>
      <c r="AF22" s="20">
        <f t="shared" si="9"/>
        <v>0.95785714285714185</v>
      </c>
      <c r="AG22" s="170"/>
    </row>
    <row r="23" spans="1:33" ht="15.75" customHeight="1">
      <c r="A23" s="193" t="s">
        <v>392</v>
      </c>
      <c r="B23" s="35" t="s">
        <v>78</v>
      </c>
      <c r="C23" s="190" t="s">
        <v>95</v>
      </c>
      <c r="D23" s="190"/>
      <c r="E23" s="35">
        <v>53.68</v>
      </c>
      <c r="F23" s="4">
        <v>700</v>
      </c>
      <c r="G23" s="4">
        <f t="shared" si="19"/>
        <v>37576</v>
      </c>
      <c r="H23" s="21">
        <v>2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1448.2758620689626</v>
      </c>
      <c r="N23" s="16">
        <f t="shared" si="3"/>
        <v>90.517241379310164</v>
      </c>
      <c r="O23" s="18">
        <f t="shared" si="4"/>
        <v>0</v>
      </c>
      <c r="P23" s="19">
        <f t="shared" si="5"/>
        <v>-3.232758620689836</v>
      </c>
      <c r="Q23" s="20">
        <f t="shared" si="6"/>
        <v>0.96551724137930839</v>
      </c>
      <c r="R23" s="170"/>
      <c r="S23" s="27">
        <v>0.76111111111111118</v>
      </c>
      <c r="T23" s="27">
        <v>0.78125000000000011</v>
      </c>
      <c r="U23" s="4">
        <f t="shared" si="22"/>
        <v>5.9999999999999787</v>
      </c>
      <c r="V23" s="21">
        <f t="shared" si="21"/>
        <v>29.000000000000057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-51.724137931037376</v>
      </c>
      <c r="AF23" s="20">
        <f t="shared" si="9"/>
        <v>0.96551724137930839</v>
      </c>
      <c r="AG23" s="170"/>
    </row>
    <row r="24" spans="1:33" ht="15.75" customHeight="1">
      <c r="A24" s="193" t="s">
        <v>52</v>
      </c>
      <c r="B24" s="35" t="s">
        <v>78</v>
      </c>
      <c r="C24" s="190" t="s">
        <v>96</v>
      </c>
      <c r="D24" s="190"/>
      <c r="E24" s="35">
        <v>57.3</v>
      </c>
      <c r="F24" s="4">
        <v>2018</v>
      </c>
      <c r="G24" s="4">
        <f t="shared" si="19"/>
        <v>115631.4</v>
      </c>
      <c r="H24" s="21" t="s">
        <v>133</v>
      </c>
      <c r="I24" s="15">
        <v>13</v>
      </c>
      <c r="J24" s="17">
        <v>2000</v>
      </c>
      <c r="K24" s="16">
        <f t="shared" si="1"/>
        <v>153.84615384615384</v>
      </c>
      <c r="L24" s="15">
        <v>13</v>
      </c>
      <c r="M24" s="17">
        <f t="shared" si="20"/>
        <v>1921.904761904764</v>
      </c>
      <c r="N24" s="16">
        <f t="shared" si="3"/>
        <v>147.838827838828</v>
      </c>
      <c r="O24" s="18">
        <f t="shared" si="4"/>
        <v>0</v>
      </c>
      <c r="P24" s="19">
        <f t="shared" si="5"/>
        <v>-6.0073260073258439</v>
      </c>
      <c r="Q24" s="20">
        <f t="shared" si="6"/>
        <v>0.960952380952382</v>
      </c>
      <c r="R24" s="170"/>
      <c r="S24" s="27">
        <v>0.78472222222222232</v>
      </c>
      <c r="T24" s="27">
        <v>0.82847222222222228</v>
      </c>
      <c r="U24" s="4">
        <f t="shared" si="22"/>
        <v>4.9999999999999822</v>
      </c>
      <c r="V24" s="21">
        <f t="shared" si="21"/>
        <v>62.999999999999936</v>
      </c>
      <c r="W24" s="22">
        <f>T24</f>
        <v>0.82847222222222228</v>
      </c>
      <c r="X24" s="22">
        <f>S25</f>
        <v>0.86805555555555558</v>
      </c>
      <c r="Y24" s="4"/>
      <c r="Z24" s="4"/>
      <c r="AA24" s="162"/>
      <c r="AB24" s="162"/>
      <c r="AC24" s="24"/>
      <c r="AD24" s="24"/>
      <c r="AE24" s="18">
        <f t="shared" si="8"/>
        <v>-78.095238095236027</v>
      </c>
      <c r="AF24" s="20">
        <f t="shared" si="9"/>
        <v>0.960952380952382</v>
      </c>
      <c r="AG24" s="170"/>
    </row>
    <row r="25" spans="1:33" ht="15.75" customHeight="1">
      <c r="A25" s="193" t="s">
        <v>393</v>
      </c>
      <c r="B25" s="35" t="s">
        <v>78</v>
      </c>
      <c r="C25" s="190" t="s">
        <v>95</v>
      </c>
      <c r="D25" s="190"/>
      <c r="E25" s="35">
        <v>53.68</v>
      </c>
      <c r="F25" s="4">
        <v>1219</v>
      </c>
      <c r="G25" s="4">
        <f t="shared" si="19"/>
        <v>65435.92</v>
      </c>
      <c r="H25" s="21" t="s">
        <v>133</v>
      </c>
      <c r="I25" s="15">
        <v>16</v>
      </c>
      <c r="J25" s="17">
        <v>1500</v>
      </c>
      <c r="K25" s="16">
        <f t="shared" si="1"/>
        <v>93.75</v>
      </c>
      <c r="L25" s="15">
        <v>16</v>
      </c>
      <c r="M25" s="17">
        <f t="shared" si="20"/>
        <v>1434.1176470588241</v>
      </c>
      <c r="N25" s="16">
        <f t="shared" si="3"/>
        <v>89.632352941176507</v>
      </c>
      <c r="O25" s="18">
        <f t="shared" si="4"/>
        <v>0</v>
      </c>
      <c r="P25" s="19">
        <f t="shared" si="5"/>
        <v>-4.1176470588234935</v>
      </c>
      <c r="Q25" s="20">
        <f t="shared" si="6"/>
        <v>0.95607843137254944</v>
      </c>
      <c r="R25" s="170"/>
      <c r="S25" s="27">
        <v>0.86805555555555558</v>
      </c>
      <c r="T25" s="27">
        <v>0.90347222222222223</v>
      </c>
      <c r="U25" s="4">
        <f t="shared" si="22"/>
        <v>56.999999999999957</v>
      </c>
      <c r="V25" s="21">
        <f t="shared" si="21"/>
        <v>50.999999999999979</v>
      </c>
      <c r="W25" s="22"/>
      <c r="X25" s="27"/>
      <c r="Y25" s="27"/>
      <c r="Z25" s="27"/>
      <c r="AA25" s="162"/>
      <c r="AB25" s="162"/>
      <c r="AC25" s="24"/>
      <c r="AD25" s="24"/>
      <c r="AE25" s="18">
        <f t="shared" si="8"/>
        <v>-65.882352941175895</v>
      </c>
      <c r="AF25" s="20">
        <f t="shared" si="9"/>
        <v>0.95607843137254944</v>
      </c>
      <c r="AG25" s="170"/>
    </row>
    <row r="26" spans="1:33" ht="15.75" customHeight="1">
      <c r="A26" s="193" t="s">
        <v>393</v>
      </c>
      <c r="B26" s="35" t="s">
        <v>394</v>
      </c>
      <c r="C26" s="171"/>
      <c r="D26" s="171"/>
      <c r="E26" s="36"/>
      <c r="F26" s="4"/>
      <c r="G26" s="4"/>
      <c r="H26" s="4"/>
      <c r="I26" s="29">
        <v>15</v>
      </c>
      <c r="J26" s="17">
        <v>1833.3333333333333</v>
      </c>
      <c r="K26" s="16">
        <f t="shared" si="1"/>
        <v>122.22222222222221</v>
      </c>
      <c r="L26" s="29">
        <v>15</v>
      </c>
      <c r="M26" s="17">
        <f>AVERAGE(M20:M25)</f>
        <v>1761.2202707839858</v>
      </c>
      <c r="N26" s="16">
        <f t="shared" si="3"/>
        <v>117.41468471893239</v>
      </c>
      <c r="O26" s="18">
        <f t="shared" si="4"/>
        <v>0</v>
      </c>
      <c r="P26" s="19">
        <f t="shared" si="5"/>
        <v>-4.8075375032898222</v>
      </c>
      <c r="Q26" s="20">
        <f t="shared" si="6"/>
        <v>0.96066560224581055</v>
      </c>
      <c r="R26" s="170"/>
      <c r="S26" s="27"/>
      <c r="T26" s="27"/>
      <c r="U26" s="16"/>
      <c r="V26" s="21"/>
      <c r="W26" s="16"/>
      <c r="X26" s="16"/>
      <c r="Y26" s="30">
        <f>SUM(Y20:Y25)</f>
        <v>0</v>
      </c>
      <c r="Z26" s="30">
        <f>SUM(Z20:Z25)</f>
        <v>0</v>
      </c>
      <c r="AA26" s="166"/>
      <c r="AB26" s="166"/>
      <c r="AC26" s="30">
        <v>6</v>
      </c>
      <c r="AD26" s="30">
        <f>SUM(AD20:AD25)</f>
        <v>0</v>
      </c>
      <c r="AE26" s="18">
        <f t="shared" si="8"/>
        <v>-72.113062549347433</v>
      </c>
      <c r="AF26" s="20">
        <f t="shared" si="9"/>
        <v>0.96066560224581043</v>
      </c>
      <c r="AG26" s="170"/>
    </row>
    <row r="27" spans="1:33" ht="15.75" customHeight="1">
      <c r="A27" s="191" t="s">
        <v>54</v>
      </c>
      <c r="B27" s="35" t="s">
        <v>97</v>
      </c>
      <c r="C27" s="190" t="s">
        <v>98</v>
      </c>
      <c r="D27" s="190"/>
      <c r="E27" s="35">
        <v>31.29</v>
      </c>
      <c r="F27" s="4">
        <v>4300</v>
      </c>
      <c r="G27" s="4">
        <f t="shared" ref="G27:G34" si="23">E27*F27</f>
        <v>134547</v>
      </c>
      <c r="H27" s="21">
        <v>2</v>
      </c>
      <c r="I27" s="15">
        <v>18</v>
      </c>
      <c r="J27" s="17">
        <v>2400</v>
      </c>
      <c r="K27" s="16">
        <f t="shared" si="1"/>
        <v>133.33333333333334</v>
      </c>
      <c r="L27" s="15">
        <v>18</v>
      </c>
      <c r="M27" s="17">
        <f t="shared" ref="M27:M34" si="24">F27/V27*60</f>
        <v>2283.1858407079653</v>
      </c>
      <c r="N27" s="16">
        <f t="shared" si="3"/>
        <v>126.84365781710919</v>
      </c>
      <c r="O27" s="18">
        <f t="shared" si="4"/>
        <v>0</v>
      </c>
      <c r="P27" s="19">
        <f t="shared" si="5"/>
        <v>-6.4896755162241533</v>
      </c>
      <c r="Q27" s="20">
        <f t="shared" si="6"/>
        <v>0.95132743362831884</v>
      </c>
      <c r="R27" s="170">
        <f>Q35</f>
        <v>0.95291356953344508</v>
      </c>
      <c r="S27" s="27">
        <v>8.3333333333333329E-2</v>
      </c>
      <c r="T27" s="27">
        <v>0.16180555555555554</v>
      </c>
      <c r="U27" s="4"/>
      <c r="V27" s="21">
        <f t="shared" ref="V27:V34" si="25">(T27-S27)*24*60</f>
        <v>112.99999999999997</v>
      </c>
      <c r="W27" s="22">
        <f>T27</f>
        <v>0.16180555555555554</v>
      </c>
      <c r="X27" s="22">
        <f>S28</f>
        <v>0.17986111111111108</v>
      </c>
      <c r="Y27" s="22"/>
      <c r="Z27" s="22"/>
      <c r="AA27" s="162"/>
      <c r="AB27" s="162"/>
      <c r="AC27" s="24">
        <v>8</v>
      </c>
      <c r="AD27" s="24"/>
      <c r="AE27" s="18">
        <f t="shared" si="8"/>
        <v>-116.81415929203467</v>
      </c>
      <c r="AF27" s="20">
        <f t="shared" si="9"/>
        <v>0.95132743362831884</v>
      </c>
      <c r="AG27" s="170">
        <f>AF35</f>
        <v>0.95291356953344519</v>
      </c>
    </row>
    <row r="28" spans="1:33" ht="15.75" customHeight="1">
      <c r="A28" s="191" t="s">
        <v>395</v>
      </c>
      <c r="B28" s="35" t="s">
        <v>97</v>
      </c>
      <c r="C28" s="190" t="s">
        <v>99</v>
      </c>
      <c r="D28" s="190"/>
      <c r="E28" s="35">
        <v>25.98</v>
      </c>
      <c r="F28" s="4">
        <v>3239</v>
      </c>
      <c r="G28" s="4">
        <f t="shared" si="23"/>
        <v>84149.22</v>
      </c>
      <c r="H28" s="21" t="s">
        <v>133</v>
      </c>
      <c r="I28" s="15">
        <v>21</v>
      </c>
      <c r="J28" s="17">
        <v>2400</v>
      </c>
      <c r="K28" s="16">
        <f t="shared" si="1"/>
        <v>114.28571428571429</v>
      </c>
      <c r="L28" s="15">
        <v>21</v>
      </c>
      <c r="M28" s="17">
        <f t="shared" si="24"/>
        <v>2286.3529411764703</v>
      </c>
      <c r="N28" s="16">
        <f t="shared" si="3"/>
        <v>108.87394957983192</v>
      </c>
      <c r="O28" s="18">
        <f t="shared" si="4"/>
        <v>0</v>
      </c>
      <c r="P28" s="19">
        <f t="shared" si="5"/>
        <v>-5.4117647058823763</v>
      </c>
      <c r="Q28" s="20">
        <f t="shared" si="6"/>
        <v>0.95264705882352918</v>
      </c>
      <c r="R28" s="170"/>
      <c r="S28" s="27">
        <v>0.17986111111111108</v>
      </c>
      <c r="T28" s="27">
        <v>0.23888888888888887</v>
      </c>
      <c r="U28" s="4">
        <f t="shared" ref="U28:U34" si="26">(S28-T27)*24*60</f>
        <v>25.999999999999986</v>
      </c>
      <c r="V28" s="21">
        <f t="shared" si="25"/>
        <v>85.000000000000014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-113.64705882352973</v>
      </c>
      <c r="AF28" s="20">
        <f t="shared" si="9"/>
        <v>0.95264705882352929</v>
      </c>
      <c r="AG28" s="170"/>
    </row>
    <row r="29" spans="1:33" ht="15.75" customHeight="1">
      <c r="A29" s="191" t="s">
        <v>395</v>
      </c>
      <c r="B29" s="35" t="s">
        <v>97</v>
      </c>
      <c r="C29" s="190" t="s">
        <v>100</v>
      </c>
      <c r="D29" s="190"/>
      <c r="E29" s="35">
        <v>26.2</v>
      </c>
      <c r="F29" s="4">
        <v>3200</v>
      </c>
      <c r="G29" s="4">
        <f t="shared" si="23"/>
        <v>83840</v>
      </c>
      <c r="H29" s="21">
        <v>2</v>
      </c>
      <c r="I29" s="15">
        <v>20</v>
      </c>
      <c r="J29" s="17">
        <v>2400</v>
      </c>
      <c r="K29" s="16">
        <f t="shared" si="1"/>
        <v>120</v>
      </c>
      <c r="L29" s="15">
        <v>20</v>
      </c>
      <c r="M29" s="17">
        <f t="shared" si="24"/>
        <v>2285.7142857142849</v>
      </c>
      <c r="N29" s="16">
        <f t="shared" si="3"/>
        <v>114.28571428571425</v>
      </c>
      <c r="O29" s="18">
        <f t="shared" si="4"/>
        <v>0</v>
      </c>
      <c r="P29" s="19">
        <f t="shared" si="5"/>
        <v>-5.7142857142857508</v>
      </c>
      <c r="Q29" s="20">
        <f t="shared" si="6"/>
        <v>0.95238095238095211</v>
      </c>
      <c r="R29" s="170"/>
      <c r="S29" s="27">
        <v>0.24236111111111108</v>
      </c>
      <c r="T29" s="27">
        <v>0.30069444444444443</v>
      </c>
      <c r="U29" s="4">
        <f t="shared" si="26"/>
        <v>4.9999999999999822</v>
      </c>
      <c r="V29" s="21">
        <f t="shared" si="25"/>
        <v>84.000000000000028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-114.28571428571513</v>
      </c>
      <c r="AF29" s="20">
        <f t="shared" si="9"/>
        <v>0.952380952380952</v>
      </c>
      <c r="AG29" s="170"/>
    </row>
    <row r="30" spans="1:33" ht="15.75" customHeight="1">
      <c r="A30" s="191" t="s">
        <v>396</v>
      </c>
      <c r="B30" s="35" t="s">
        <v>97</v>
      </c>
      <c r="C30" s="190" t="s">
        <v>101</v>
      </c>
      <c r="D30" s="190"/>
      <c r="E30" s="35">
        <v>25.99</v>
      </c>
      <c r="F30" s="4">
        <v>4585</v>
      </c>
      <c r="G30" s="4">
        <f t="shared" si="23"/>
        <v>119164.15</v>
      </c>
      <c r="H30" s="21" t="s">
        <v>133</v>
      </c>
      <c r="I30" s="15">
        <v>14</v>
      </c>
      <c r="J30" s="17">
        <v>2400</v>
      </c>
      <c r="K30" s="16">
        <f t="shared" si="1"/>
        <v>171.42857142857142</v>
      </c>
      <c r="L30" s="15">
        <v>14</v>
      </c>
      <c r="M30" s="17">
        <f t="shared" si="24"/>
        <v>2292.5000000000005</v>
      </c>
      <c r="N30" s="16">
        <f t="shared" si="3"/>
        <v>163.75000000000003</v>
      </c>
      <c r="O30" s="18">
        <f t="shared" si="4"/>
        <v>0</v>
      </c>
      <c r="P30" s="19">
        <f t="shared" si="5"/>
        <v>-7.678571428571388</v>
      </c>
      <c r="Q30" s="20">
        <f t="shared" si="6"/>
        <v>0.95520833333333355</v>
      </c>
      <c r="R30" s="170"/>
      <c r="S30" s="27">
        <v>0.30624999999999997</v>
      </c>
      <c r="T30" s="27">
        <v>0.38958333333333328</v>
      </c>
      <c r="U30" s="4">
        <f t="shared" si="26"/>
        <v>7.9999999999999716</v>
      </c>
      <c r="V30" s="21">
        <f t="shared" si="25"/>
        <v>119.99999999999997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-107.49999999999955</v>
      </c>
      <c r="AF30" s="20">
        <f t="shared" si="9"/>
        <v>0.95520833333333355</v>
      </c>
      <c r="AG30" s="170"/>
    </row>
    <row r="31" spans="1:33" ht="15.75" customHeight="1">
      <c r="A31" s="191" t="s">
        <v>396</v>
      </c>
      <c r="B31" s="35" t="s">
        <v>97</v>
      </c>
      <c r="C31" s="190" t="s">
        <v>102</v>
      </c>
      <c r="D31" s="190"/>
      <c r="E31" s="35">
        <v>26.18</v>
      </c>
      <c r="F31" s="4">
        <v>2058</v>
      </c>
      <c r="G31" s="4">
        <f t="shared" si="23"/>
        <v>53878.44</v>
      </c>
      <c r="H31" s="21" t="s">
        <v>133</v>
      </c>
      <c r="I31" s="15">
        <v>19</v>
      </c>
      <c r="J31" s="17">
        <v>2400</v>
      </c>
      <c r="K31" s="16">
        <f t="shared" si="1"/>
        <v>126.31578947368421</v>
      </c>
      <c r="L31" s="15">
        <v>19</v>
      </c>
      <c r="M31" s="17">
        <f t="shared" si="24"/>
        <v>2286.6666666666679</v>
      </c>
      <c r="N31" s="16">
        <f t="shared" si="3"/>
        <v>120.35087719298252</v>
      </c>
      <c r="O31" s="18">
        <f t="shared" si="4"/>
        <v>0</v>
      </c>
      <c r="P31" s="19">
        <f t="shared" si="5"/>
        <v>-5.9649122807016823</v>
      </c>
      <c r="Q31" s="20">
        <f t="shared" si="6"/>
        <v>0.95277777777777839</v>
      </c>
      <c r="R31" s="170"/>
      <c r="S31" s="27">
        <v>0.39444444444444438</v>
      </c>
      <c r="T31" s="27">
        <v>0.43194444444444435</v>
      </c>
      <c r="U31" s="4">
        <f t="shared" si="26"/>
        <v>6.9999999999999751</v>
      </c>
      <c r="V31" s="21">
        <f t="shared" si="25"/>
        <v>53.999999999999972</v>
      </c>
      <c r="W31" s="22"/>
      <c r="X31" s="22"/>
      <c r="Y31" s="22"/>
      <c r="Z31" s="22"/>
      <c r="AA31" s="162"/>
      <c r="AB31" s="162"/>
      <c r="AC31" s="24"/>
      <c r="AD31" s="24"/>
      <c r="AE31" s="18">
        <f t="shared" si="8"/>
        <v>-113.33333333333212</v>
      </c>
      <c r="AF31" s="20">
        <f t="shared" si="9"/>
        <v>0.95277777777777828</v>
      </c>
      <c r="AG31" s="170"/>
    </row>
    <row r="32" spans="1:33" ht="15.75" customHeight="1">
      <c r="A32" s="191" t="s">
        <v>395</v>
      </c>
      <c r="B32" s="35" t="s">
        <v>97</v>
      </c>
      <c r="C32" s="190" t="s">
        <v>106</v>
      </c>
      <c r="D32" s="190"/>
      <c r="E32" s="35">
        <v>20.21</v>
      </c>
      <c r="F32" s="4">
        <v>3387</v>
      </c>
      <c r="G32" s="4">
        <f t="shared" si="23"/>
        <v>68451.27</v>
      </c>
      <c r="H32" s="21" t="s">
        <v>133</v>
      </c>
      <c r="I32" s="15">
        <v>15</v>
      </c>
      <c r="J32" s="17">
        <v>2400</v>
      </c>
      <c r="K32" s="16">
        <f t="shared" si="1"/>
        <v>160</v>
      </c>
      <c r="L32" s="15">
        <v>15</v>
      </c>
      <c r="M32" s="17">
        <f t="shared" si="24"/>
        <v>2283.3707865168535</v>
      </c>
      <c r="N32" s="16">
        <f t="shared" si="3"/>
        <v>152.22471910112355</v>
      </c>
      <c r="O32" s="18">
        <f t="shared" si="4"/>
        <v>0</v>
      </c>
      <c r="P32" s="19">
        <f t="shared" si="5"/>
        <v>-7.7752808988764457</v>
      </c>
      <c r="Q32" s="20">
        <f t="shared" si="6"/>
        <v>0.95140449438202224</v>
      </c>
      <c r="R32" s="170"/>
      <c r="S32" s="27">
        <v>0.43541666666666656</v>
      </c>
      <c r="T32" s="27">
        <v>0.49722222222222212</v>
      </c>
      <c r="U32" s="4">
        <f t="shared" si="26"/>
        <v>4.9999999999999822</v>
      </c>
      <c r="V32" s="21">
        <f t="shared" si="25"/>
        <v>89</v>
      </c>
      <c r="W32" s="22">
        <f>T32</f>
        <v>0.49722222222222212</v>
      </c>
      <c r="X32" s="22">
        <f>S33</f>
        <v>0.53958333333333319</v>
      </c>
      <c r="Y32" s="22"/>
      <c r="Z32" s="22"/>
      <c r="AA32" s="162"/>
      <c r="AB32" s="162"/>
      <c r="AC32" s="24"/>
      <c r="AD32" s="24"/>
      <c r="AE32" s="18">
        <f t="shared" si="8"/>
        <v>-116.62921348314649</v>
      </c>
      <c r="AF32" s="20">
        <f t="shared" si="9"/>
        <v>0.95140449438202235</v>
      </c>
      <c r="AG32" s="170"/>
    </row>
    <row r="33" spans="1:33" ht="15.75" customHeight="1">
      <c r="A33" s="191" t="s">
        <v>396</v>
      </c>
      <c r="B33" s="35" t="s">
        <v>97</v>
      </c>
      <c r="C33" s="190" t="s">
        <v>98</v>
      </c>
      <c r="D33" s="190"/>
      <c r="E33" s="35">
        <v>31.29</v>
      </c>
      <c r="F33" s="4">
        <v>5976</v>
      </c>
      <c r="G33" s="4">
        <f t="shared" si="23"/>
        <v>186989.04</v>
      </c>
      <c r="H33" s="21" t="s">
        <v>133</v>
      </c>
      <c r="I33" s="15">
        <v>18</v>
      </c>
      <c r="J33" s="17">
        <v>2400</v>
      </c>
      <c r="K33" s="16">
        <f t="shared" si="1"/>
        <v>133.33333333333334</v>
      </c>
      <c r="L33" s="15">
        <v>18</v>
      </c>
      <c r="M33" s="17">
        <f t="shared" si="24"/>
        <v>2283.8216560509545</v>
      </c>
      <c r="N33" s="16">
        <f t="shared" si="3"/>
        <v>126.87898089171969</v>
      </c>
      <c r="O33" s="18">
        <f t="shared" si="4"/>
        <v>0</v>
      </c>
      <c r="P33" s="19">
        <f t="shared" si="5"/>
        <v>-6.4543524416136506</v>
      </c>
      <c r="Q33" s="20">
        <f t="shared" si="6"/>
        <v>0.95159235668789766</v>
      </c>
      <c r="R33" s="170"/>
      <c r="S33" s="27">
        <v>0.53958333333333319</v>
      </c>
      <c r="T33" s="27">
        <v>0.64861111111111103</v>
      </c>
      <c r="U33" s="4">
        <f t="shared" si="26"/>
        <v>60.999999999999943</v>
      </c>
      <c r="V33" s="21">
        <f t="shared" si="25"/>
        <v>157.00000000000009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-116.17834394904548</v>
      </c>
      <c r="AF33" s="20">
        <f t="shared" si="9"/>
        <v>0.95159235668789777</v>
      </c>
      <c r="AG33" s="170"/>
    </row>
    <row r="34" spans="1:33" ht="15.75" customHeight="1">
      <c r="A34" s="191" t="s">
        <v>395</v>
      </c>
      <c r="B34" s="35" t="s">
        <v>97</v>
      </c>
      <c r="C34" s="190" t="s">
        <v>100</v>
      </c>
      <c r="D34" s="190"/>
      <c r="E34" s="35">
        <v>26.2</v>
      </c>
      <c r="F34" s="4">
        <v>2562</v>
      </c>
      <c r="G34" s="4">
        <f t="shared" si="23"/>
        <v>67124.399999999994</v>
      </c>
      <c r="H34" s="21" t="s">
        <v>133</v>
      </c>
      <c r="I34" s="15">
        <v>20</v>
      </c>
      <c r="J34" s="17">
        <v>2400</v>
      </c>
      <c r="K34" s="16">
        <f t="shared" si="1"/>
        <v>120</v>
      </c>
      <c r="L34" s="15">
        <v>20</v>
      </c>
      <c r="M34" s="17">
        <f t="shared" si="24"/>
        <v>2294.3283582089525</v>
      </c>
      <c r="N34" s="16">
        <f t="shared" si="3"/>
        <v>114.71641791044763</v>
      </c>
      <c r="O34" s="18">
        <f t="shared" si="4"/>
        <v>0</v>
      </c>
      <c r="P34" s="19">
        <f t="shared" si="5"/>
        <v>-5.2835820895523682</v>
      </c>
      <c r="Q34" s="20">
        <f t="shared" si="6"/>
        <v>0.95597014925373025</v>
      </c>
      <c r="R34" s="170"/>
      <c r="S34" s="27">
        <v>0.65208333333333324</v>
      </c>
      <c r="T34" s="27">
        <v>0.69861111111111107</v>
      </c>
      <c r="U34" s="4">
        <f t="shared" si="26"/>
        <v>4.9999999999999822</v>
      </c>
      <c r="V34" s="21">
        <f t="shared" si="25"/>
        <v>67.000000000000085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8"/>
        <v>-105.67164179104748</v>
      </c>
      <c r="AF34" s="20">
        <f t="shared" si="9"/>
        <v>0.95597014925373025</v>
      </c>
      <c r="AG34" s="170"/>
    </row>
    <row r="35" spans="1:33" ht="15.75" customHeight="1">
      <c r="A35" s="191" t="s">
        <v>395</v>
      </c>
      <c r="B35" s="35" t="s">
        <v>397</v>
      </c>
      <c r="C35" s="171"/>
      <c r="D35" s="171"/>
      <c r="E35" s="36"/>
      <c r="F35" s="4"/>
      <c r="G35" s="4"/>
      <c r="H35" s="4"/>
      <c r="I35" s="29">
        <v>18.125</v>
      </c>
      <c r="J35" s="17">
        <v>2400</v>
      </c>
      <c r="K35" s="16">
        <f t="shared" si="1"/>
        <v>132.41379310344828</v>
      </c>
      <c r="L35" s="29">
        <v>18.125</v>
      </c>
      <c r="M35" s="17">
        <f>AVERAGE(M27:M34)</f>
        <v>2286.9925668802684</v>
      </c>
      <c r="N35" s="16">
        <f t="shared" si="3"/>
        <v>126.17890024166998</v>
      </c>
      <c r="O35" s="18">
        <f t="shared" si="4"/>
        <v>0</v>
      </c>
      <c r="P35" s="19">
        <f t="shared" si="5"/>
        <v>-6.2348928617783059</v>
      </c>
      <c r="Q35" s="20">
        <f t="shared" si="6"/>
        <v>0.95291356953344508</v>
      </c>
      <c r="R35" s="170"/>
      <c r="S35" s="27"/>
      <c r="T35" s="27"/>
      <c r="U35" s="4"/>
      <c r="V35" s="21"/>
      <c r="W35" s="4"/>
      <c r="X35" s="4"/>
      <c r="Y35" s="30">
        <f>SUM(Y27:Y34)</f>
        <v>0</v>
      </c>
      <c r="Z35" s="30">
        <f>SUM(Z27:Z34)</f>
        <v>0</v>
      </c>
      <c r="AA35" s="166"/>
      <c r="AB35" s="166"/>
      <c r="AC35" s="30">
        <v>8</v>
      </c>
      <c r="AD35" s="30">
        <f>SUM(AD27:AD34)</f>
        <v>0</v>
      </c>
      <c r="AE35" s="18">
        <f t="shared" si="8"/>
        <v>-113.00743311973156</v>
      </c>
      <c r="AF35" s="20">
        <f t="shared" si="9"/>
        <v>0.95291356953344519</v>
      </c>
      <c r="AG35" s="170"/>
    </row>
    <row r="36" spans="1:33" ht="15.75" customHeight="1">
      <c r="A36" s="188" t="s">
        <v>398</v>
      </c>
      <c r="B36" s="35" t="s">
        <v>97</v>
      </c>
      <c r="C36" s="163" t="s">
        <v>103</v>
      </c>
      <c r="D36" s="163"/>
      <c r="E36" s="35">
        <v>26.2</v>
      </c>
      <c r="F36" s="4">
        <v>3000</v>
      </c>
      <c r="G36" s="4">
        <f t="shared" ref="G36:G42" si="27">E36*F36</f>
        <v>78600</v>
      </c>
      <c r="H36" s="21">
        <v>2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ref="M36:M42" si="28">F36/V36*60</f>
        <v>2307.6923076923072</v>
      </c>
      <c r="N36" s="16">
        <f t="shared" si="3"/>
        <v>128.20512820512818</v>
      </c>
      <c r="O36" s="18">
        <f t="shared" si="4"/>
        <v>0</v>
      </c>
      <c r="P36" s="19">
        <f t="shared" si="5"/>
        <v>-5.1282051282051668</v>
      </c>
      <c r="Q36" s="20">
        <f t="shared" si="6"/>
        <v>0.96153846153846123</v>
      </c>
      <c r="R36" s="170">
        <f>Q43</f>
        <v>0.95618318681638315</v>
      </c>
      <c r="S36" s="27">
        <v>8.3333333333333329E-2</v>
      </c>
      <c r="T36" s="27">
        <v>0.13750000000000001</v>
      </c>
      <c r="U36" s="4"/>
      <c r="V36" s="21">
        <f t="shared" ref="V36:V42" si="29">(T36-S36)*24*60</f>
        <v>78.000000000000014</v>
      </c>
      <c r="W36" s="27"/>
      <c r="X36" s="27"/>
      <c r="Y36" s="27"/>
      <c r="Z36" s="27"/>
      <c r="AA36" s="162"/>
      <c r="AB36" s="162"/>
      <c r="AC36" s="24">
        <v>7</v>
      </c>
      <c r="AD36" s="24"/>
      <c r="AE36" s="18">
        <f t="shared" si="8"/>
        <v>-92.307692307692832</v>
      </c>
      <c r="AF36" s="20">
        <f t="shared" si="9"/>
        <v>0.96153846153846134</v>
      </c>
      <c r="AG36" s="170">
        <f>AF43</f>
        <v>0.95618318681638315</v>
      </c>
    </row>
    <row r="37" spans="1:33" ht="15.75" customHeight="1">
      <c r="A37" s="188" t="s">
        <v>59</v>
      </c>
      <c r="B37" s="35" t="s">
        <v>97</v>
      </c>
      <c r="C37" s="163" t="s">
        <v>304</v>
      </c>
      <c r="D37" s="163"/>
      <c r="E37" s="35">
        <v>21.68</v>
      </c>
      <c r="F37" s="4">
        <v>5000</v>
      </c>
      <c r="G37" s="4">
        <f t="shared" si="27"/>
        <v>108400</v>
      </c>
      <c r="H37" s="21">
        <v>2</v>
      </c>
      <c r="I37" s="15">
        <v>15</v>
      </c>
      <c r="J37" s="17">
        <v>2400</v>
      </c>
      <c r="K37" s="16">
        <f t="shared" si="1"/>
        <v>160</v>
      </c>
      <c r="L37" s="15">
        <v>15</v>
      </c>
      <c r="M37" s="17">
        <f t="shared" si="28"/>
        <v>2290.0763358778631</v>
      </c>
      <c r="N37" s="16">
        <f t="shared" si="3"/>
        <v>152.67175572519088</v>
      </c>
      <c r="O37" s="18">
        <f t="shared" si="4"/>
        <v>0</v>
      </c>
      <c r="P37" s="19">
        <f t="shared" si="5"/>
        <v>-7.3282442748091228</v>
      </c>
      <c r="Q37" s="20">
        <f t="shared" si="6"/>
        <v>0.954198473282443</v>
      </c>
      <c r="R37" s="170"/>
      <c r="S37" s="27">
        <v>0.14236111111111113</v>
      </c>
      <c r="T37" s="27">
        <v>0.23333333333333334</v>
      </c>
      <c r="U37" s="4">
        <f t="shared" ref="U37:U42" si="30">(S37-T36)*24*60</f>
        <v>7.0000000000000151</v>
      </c>
      <c r="V37" s="21">
        <f t="shared" si="29"/>
        <v>130.99999999999997</v>
      </c>
      <c r="W37" s="22">
        <f>T37</f>
        <v>0.23333333333333334</v>
      </c>
      <c r="X37" s="22">
        <f>S38</f>
        <v>0.25138888888888888</v>
      </c>
      <c r="Y37" s="4"/>
      <c r="Z37" s="4"/>
      <c r="AA37" s="162"/>
      <c r="AB37" s="162"/>
      <c r="AC37" s="24"/>
      <c r="AD37" s="24"/>
      <c r="AE37" s="18">
        <f t="shared" si="8"/>
        <v>-109.92366412213687</v>
      </c>
      <c r="AF37" s="20">
        <f t="shared" si="9"/>
        <v>0.954198473282443</v>
      </c>
      <c r="AG37" s="170"/>
    </row>
    <row r="38" spans="1:33">
      <c r="A38" s="189" t="s">
        <v>59</v>
      </c>
      <c r="B38" s="35" t="s">
        <v>97</v>
      </c>
      <c r="C38" s="163" t="s">
        <v>104</v>
      </c>
      <c r="D38" s="163"/>
      <c r="E38" s="35">
        <v>20.52</v>
      </c>
      <c r="F38" s="4">
        <v>4248</v>
      </c>
      <c r="G38" s="4">
        <f t="shared" si="27"/>
        <v>87168.959999999992</v>
      </c>
      <c r="H38" s="21" t="s">
        <v>133</v>
      </c>
      <c r="I38" s="15">
        <v>18</v>
      </c>
      <c r="J38" s="17">
        <v>2400</v>
      </c>
      <c r="K38" s="16">
        <f t="shared" si="1"/>
        <v>133.33333333333334</v>
      </c>
      <c r="L38" s="15">
        <v>18</v>
      </c>
      <c r="M38" s="17">
        <f t="shared" si="28"/>
        <v>2296.2162162162163</v>
      </c>
      <c r="N38" s="16">
        <f t="shared" si="3"/>
        <v>127.56756756756756</v>
      </c>
      <c r="O38" s="18">
        <f t="shared" si="4"/>
        <v>0</v>
      </c>
      <c r="P38" s="19">
        <f t="shared" si="5"/>
        <v>-5.7657657657657779</v>
      </c>
      <c r="Q38" s="20">
        <f t="shared" si="6"/>
        <v>0.95675675675675664</v>
      </c>
      <c r="R38" s="170"/>
      <c r="S38" s="27">
        <v>0.25138888888888888</v>
      </c>
      <c r="T38" s="27">
        <v>0.32847222222222222</v>
      </c>
      <c r="U38" s="4">
        <f t="shared" si="30"/>
        <v>25.999999999999986</v>
      </c>
      <c r="V38" s="21">
        <f t="shared" si="29"/>
        <v>111</v>
      </c>
      <c r="W38" s="4"/>
      <c r="X38" s="4"/>
      <c r="Y38" s="4"/>
      <c r="Z38" s="4"/>
      <c r="AA38" s="162"/>
      <c r="AB38" s="162"/>
      <c r="AC38" s="24"/>
      <c r="AD38" s="24"/>
      <c r="AE38" s="18">
        <f t="shared" si="8"/>
        <v>-103.78378378378375</v>
      </c>
      <c r="AF38" s="20">
        <f t="shared" si="9"/>
        <v>0.95675675675675675</v>
      </c>
      <c r="AG38" s="170"/>
    </row>
    <row r="39" spans="1:33">
      <c r="A39" s="189" t="s">
        <v>398</v>
      </c>
      <c r="B39" s="35" t="s">
        <v>97</v>
      </c>
      <c r="C39" s="163" t="s">
        <v>105</v>
      </c>
      <c r="D39" s="163"/>
      <c r="E39" s="35">
        <v>26.39</v>
      </c>
      <c r="F39" s="4">
        <v>6328</v>
      </c>
      <c r="G39" s="4">
        <f t="shared" si="27"/>
        <v>166995.92000000001</v>
      </c>
      <c r="H39" s="21" t="s">
        <v>133</v>
      </c>
      <c r="I39" s="15">
        <v>19</v>
      </c>
      <c r="J39" s="17">
        <v>2400</v>
      </c>
      <c r="K39" s="16">
        <f t="shared" si="1"/>
        <v>126.31578947368421</v>
      </c>
      <c r="L39" s="15">
        <v>19</v>
      </c>
      <c r="M39" s="17">
        <f t="shared" si="28"/>
        <v>2287.2289156626507</v>
      </c>
      <c r="N39" s="16">
        <f t="shared" si="3"/>
        <v>120.38046924540267</v>
      </c>
      <c r="O39" s="18">
        <f t="shared" si="4"/>
        <v>0</v>
      </c>
      <c r="P39" s="19">
        <f t="shared" si="5"/>
        <v>-5.9353202282815403</v>
      </c>
      <c r="Q39" s="20">
        <f t="shared" si="6"/>
        <v>0.95301204819277119</v>
      </c>
      <c r="R39" s="170"/>
      <c r="S39" s="27">
        <v>0.33263888888888887</v>
      </c>
      <c r="T39" s="27">
        <v>0.44791666666666663</v>
      </c>
      <c r="U39" s="4">
        <f t="shared" si="30"/>
        <v>5.9999999999999787</v>
      </c>
      <c r="V39" s="21">
        <f t="shared" si="29"/>
        <v>165.99999999999997</v>
      </c>
      <c r="W39" s="22"/>
      <c r="X39" s="22"/>
      <c r="Y39" s="22"/>
      <c r="Z39" s="22"/>
      <c r="AA39" s="162"/>
      <c r="AB39" s="162"/>
      <c r="AC39" s="24"/>
      <c r="AD39" s="24"/>
      <c r="AE39" s="18">
        <f t="shared" si="8"/>
        <v>-112.77108433734929</v>
      </c>
      <c r="AF39" s="20">
        <f t="shared" si="9"/>
        <v>0.95301204819277108</v>
      </c>
      <c r="AG39" s="170"/>
    </row>
    <row r="40" spans="1:33">
      <c r="A40" s="189" t="s">
        <v>59</v>
      </c>
      <c r="B40" s="35" t="s">
        <v>97</v>
      </c>
      <c r="C40" s="163" t="s">
        <v>107</v>
      </c>
      <c r="D40" s="163"/>
      <c r="E40" s="35">
        <v>20.52</v>
      </c>
      <c r="F40" s="4">
        <v>3150</v>
      </c>
      <c r="G40" s="4">
        <f t="shared" si="27"/>
        <v>64638</v>
      </c>
      <c r="H40" s="21" t="s">
        <v>133</v>
      </c>
      <c r="I40" s="15">
        <v>18</v>
      </c>
      <c r="J40" s="17">
        <v>2400</v>
      </c>
      <c r="K40" s="16">
        <f t="shared" si="1"/>
        <v>133.33333333333334</v>
      </c>
      <c r="L40" s="15">
        <v>18</v>
      </c>
      <c r="M40" s="17">
        <f t="shared" si="28"/>
        <v>2304.878048780487</v>
      </c>
      <c r="N40" s="16">
        <f t="shared" si="3"/>
        <v>128.04878048780483</v>
      </c>
      <c r="O40" s="18">
        <f t="shared" si="4"/>
        <v>0</v>
      </c>
      <c r="P40" s="19">
        <f t="shared" si="5"/>
        <v>-5.2845528455285091</v>
      </c>
      <c r="Q40" s="20">
        <f t="shared" si="6"/>
        <v>0.96036585365853622</v>
      </c>
      <c r="R40" s="170"/>
      <c r="S40" s="27">
        <v>0.45138888888888884</v>
      </c>
      <c r="T40" s="27">
        <v>0.5083333333333333</v>
      </c>
      <c r="U40" s="4">
        <f t="shared" si="30"/>
        <v>4.9999999999999822</v>
      </c>
      <c r="V40" s="21">
        <f t="shared" si="29"/>
        <v>82.000000000000028</v>
      </c>
      <c r="W40" s="22">
        <f>T40</f>
        <v>0.5083333333333333</v>
      </c>
      <c r="X40" s="22">
        <f>S41</f>
        <v>0.54861111111111105</v>
      </c>
      <c r="Y40" s="22"/>
      <c r="Z40" s="22"/>
      <c r="AA40" s="162"/>
      <c r="AB40" s="162"/>
      <c r="AC40" s="24"/>
      <c r="AD40" s="24"/>
      <c r="AE40" s="18">
        <f t="shared" si="8"/>
        <v>-95.121951219512994</v>
      </c>
      <c r="AF40" s="20">
        <f t="shared" si="9"/>
        <v>0.96036585365853622</v>
      </c>
      <c r="AG40" s="170"/>
    </row>
    <row r="41" spans="1:33">
      <c r="A41" s="189" t="s">
        <v>59</v>
      </c>
      <c r="B41" s="35" t="s">
        <v>97</v>
      </c>
      <c r="C41" s="163" t="s">
        <v>103</v>
      </c>
      <c r="D41" s="163"/>
      <c r="E41" s="35">
        <v>26.2</v>
      </c>
      <c r="F41" s="4">
        <v>4587</v>
      </c>
      <c r="G41" s="4">
        <f t="shared" si="27"/>
        <v>120179.4</v>
      </c>
      <c r="H41" s="21" t="s">
        <v>133</v>
      </c>
      <c r="I41" s="15">
        <v>18</v>
      </c>
      <c r="J41" s="17">
        <v>2400</v>
      </c>
      <c r="K41" s="16">
        <f t="shared" si="1"/>
        <v>133.33333333333334</v>
      </c>
      <c r="L41" s="15">
        <v>18</v>
      </c>
      <c r="M41" s="17">
        <f t="shared" si="28"/>
        <v>2293.4999999999986</v>
      </c>
      <c r="N41" s="16">
        <f t="shared" si="3"/>
        <v>127.41666666666659</v>
      </c>
      <c r="O41" s="18">
        <f t="shared" si="4"/>
        <v>0</v>
      </c>
      <c r="P41" s="19">
        <f t="shared" si="5"/>
        <v>-5.9166666666667567</v>
      </c>
      <c r="Q41" s="20">
        <f t="shared" si="6"/>
        <v>0.95562499999999928</v>
      </c>
      <c r="R41" s="170"/>
      <c r="S41" s="27">
        <v>0.54861111111111105</v>
      </c>
      <c r="T41" s="27">
        <v>0.63194444444444442</v>
      </c>
      <c r="U41" s="4">
        <f t="shared" si="30"/>
        <v>57.999999999999957</v>
      </c>
      <c r="V41" s="21">
        <f t="shared" si="29"/>
        <v>120.00000000000006</v>
      </c>
      <c r="W41" s="22"/>
      <c r="X41" s="22"/>
      <c r="Y41" s="22"/>
      <c r="Z41" s="22"/>
      <c r="AA41" s="162"/>
      <c r="AB41" s="162"/>
      <c r="AC41" s="24"/>
      <c r="AD41" s="24"/>
      <c r="AE41" s="18">
        <f t="shared" si="8"/>
        <v>-106.50000000000136</v>
      </c>
      <c r="AF41" s="20">
        <f t="shared" si="9"/>
        <v>0.95562499999999939</v>
      </c>
      <c r="AG41" s="170"/>
    </row>
    <row r="42" spans="1:33">
      <c r="A42" s="189" t="s">
        <v>59</v>
      </c>
      <c r="B42" s="35" t="s">
        <v>97</v>
      </c>
      <c r="C42" s="163" t="s">
        <v>304</v>
      </c>
      <c r="D42" s="163"/>
      <c r="E42" s="35">
        <v>21.68</v>
      </c>
      <c r="F42" s="4">
        <v>4797</v>
      </c>
      <c r="G42" s="4">
        <f t="shared" si="27"/>
        <v>103998.95999999999</v>
      </c>
      <c r="H42" s="21" t="s">
        <v>133</v>
      </c>
      <c r="I42" s="15">
        <v>15</v>
      </c>
      <c r="J42" s="17">
        <v>2400</v>
      </c>
      <c r="K42" s="16">
        <f t="shared" si="1"/>
        <v>160</v>
      </c>
      <c r="L42" s="15">
        <v>15</v>
      </c>
      <c r="M42" s="17">
        <f t="shared" si="28"/>
        <v>2284.2857142857138</v>
      </c>
      <c r="N42" s="16">
        <f t="shared" si="3"/>
        <v>152.28571428571425</v>
      </c>
      <c r="O42" s="18">
        <f t="shared" si="4"/>
        <v>0</v>
      </c>
      <c r="P42" s="19">
        <f t="shared" si="5"/>
        <v>-7.7142857142857508</v>
      </c>
      <c r="Q42" s="20">
        <f t="shared" si="6"/>
        <v>0.95178571428571401</v>
      </c>
      <c r="R42" s="170"/>
      <c r="S42" s="27">
        <v>0.63680555555555551</v>
      </c>
      <c r="T42" s="27">
        <v>0.72430555555555554</v>
      </c>
      <c r="U42" s="4">
        <f t="shared" si="30"/>
        <v>6.9999999999999751</v>
      </c>
      <c r="V42" s="21">
        <f t="shared" si="29"/>
        <v>126.00000000000003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-115.71428571428623</v>
      </c>
      <c r="AF42" s="20">
        <f t="shared" si="9"/>
        <v>0.95178571428571412</v>
      </c>
      <c r="AG42" s="170"/>
    </row>
    <row r="43" spans="1:33">
      <c r="A43" s="189" t="s">
        <v>398</v>
      </c>
      <c r="B43" s="16" t="s">
        <v>48</v>
      </c>
      <c r="C43" s="171"/>
      <c r="D43" s="171"/>
      <c r="E43" s="36"/>
      <c r="F43" s="16"/>
      <c r="G43" s="16"/>
      <c r="H43" s="4"/>
      <c r="I43" s="29">
        <v>17.285714285714285</v>
      </c>
      <c r="J43" s="17">
        <v>2400</v>
      </c>
      <c r="K43" s="16">
        <f t="shared" si="1"/>
        <v>138.84297520661158</v>
      </c>
      <c r="L43" s="29">
        <v>17.285714285714285</v>
      </c>
      <c r="M43" s="17">
        <f>AVERAGE(M36:M42)</f>
        <v>2294.8396483593197</v>
      </c>
      <c r="N43" s="16">
        <f t="shared" si="3"/>
        <v>132.75931850012594</v>
      </c>
      <c r="O43" s="18">
        <f t="shared" si="4"/>
        <v>0</v>
      </c>
      <c r="P43" s="19">
        <f t="shared" si="5"/>
        <v>-6.0836567064856411</v>
      </c>
      <c r="Q43" s="20">
        <f t="shared" si="6"/>
        <v>0.95618318681638315</v>
      </c>
      <c r="R43" s="170"/>
      <c r="S43" s="27"/>
      <c r="T43" s="27"/>
      <c r="U43" s="16"/>
      <c r="V43" s="21"/>
      <c r="W43" s="16"/>
      <c r="X43" s="16"/>
      <c r="Y43" s="30">
        <f>SUM(Y36:Y42)</f>
        <v>0</v>
      </c>
      <c r="Z43" s="30">
        <f>SUM(Z36:Z42)</f>
        <v>0</v>
      </c>
      <c r="AA43" s="166"/>
      <c r="AB43" s="166"/>
      <c r="AC43" s="30">
        <v>7</v>
      </c>
      <c r="AD43" s="30">
        <f>SUM(AD36:AD42)</f>
        <v>0</v>
      </c>
      <c r="AE43" s="18">
        <f t="shared" si="8"/>
        <v>-105.16035164068035</v>
      </c>
      <c r="AF43" s="20">
        <f t="shared" si="9"/>
        <v>0.95618318681638315</v>
      </c>
      <c r="AG43" s="170"/>
    </row>
    <row r="44" spans="1:33" ht="15.75" customHeight="1">
      <c r="A44" s="182" t="s">
        <v>68</v>
      </c>
      <c r="B44" s="35" t="s">
        <v>108</v>
      </c>
      <c r="C44" s="174" t="s">
        <v>109</v>
      </c>
      <c r="D44" s="175"/>
      <c r="E44" s="35">
        <v>34.36</v>
      </c>
      <c r="F44" s="4">
        <v>2390</v>
      </c>
      <c r="G44" s="4">
        <f t="shared" ref="G44:G50" si="31">E44*F44</f>
        <v>82120.399999999994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ref="M44:M50" si="32">F44/V44*60</f>
        <v>2868</v>
      </c>
      <c r="N44" s="17">
        <f t="shared" si="3"/>
        <v>286.8</v>
      </c>
      <c r="O44" s="18">
        <f t="shared" si="4"/>
        <v>0</v>
      </c>
      <c r="P44" s="19">
        <f t="shared" si="5"/>
        <v>-13.199999999999989</v>
      </c>
      <c r="Q44" s="20">
        <f t="shared" si="6"/>
        <v>0.95600000000000007</v>
      </c>
      <c r="R44" s="185">
        <f>Q51</f>
        <v>0.95562027982324949</v>
      </c>
      <c r="S44" s="27">
        <v>8.3333333333333329E-2</v>
      </c>
      <c r="T44" s="27">
        <v>0.11805555555555555</v>
      </c>
      <c r="U44" s="27"/>
      <c r="V44" s="21">
        <f t="shared" ref="V44:V50" si="33">(T44-S44)*24*60</f>
        <v>50</v>
      </c>
      <c r="W44" s="22"/>
      <c r="X44" s="22"/>
      <c r="Y44" s="25"/>
      <c r="Z44" s="25"/>
      <c r="AA44" s="176"/>
      <c r="AB44" s="177"/>
      <c r="AC44" s="24">
        <v>7</v>
      </c>
      <c r="AD44" s="24"/>
      <c r="AE44" s="18">
        <f t="shared" si="8"/>
        <v>-132</v>
      </c>
      <c r="AF44" s="20">
        <f t="shared" si="9"/>
        <v>0.95599999999999996</v>
      </c>
      <c r="AG44" s="185">
        <f>AF51</f>
        <v>0.95562027982324949</v>
      </c>
    </row>
    <row r="45" spans="1:33" ht="15.75" customHeight="1">
      <c r="A45" s="183" t="s">
        <v>399</v>
      </c>
      <c r="B45" s="35" t="s">
        <v>108</v>
      </c>
      <c r="C45" s="174" t="s">
        <v>305</v>
      </c>
      <c r="D45" s="175"/>
      <c r="E45" s="35">
        <v>27.03</v>
      </c>
      <c r="F45" s="4">
        <v>5000</v>
      </c>
      <c r="G45" s="4">
        <f t="shared" si="31"/>
        <v>135150</v>
      </c>
      <c r="H45" s="21">
        <v>2</v>
      </c>
      <c r="I45" s="15">
        <v>8</v>
      </c>
      <c r="J45" s="17">
        <v>3000</v>
      </c>
      <c r="K45" s="16">
        <f t="shared" si="1"/>
        <v>375</v>
      </c>
      <c r="L45" s="15">
        <v>8</v>
      </c>
      <c r="M45" s="17">
        <f t="shared" si="32"/>
        <v>2857.1428571428573</v>
      </c>
      <c r="N45" s="17">
        <f t="shared" si="3"/>
        <v>357.14285714285717</v>
      </c>
      <c r="O45" s="18">
        <f t="shared" si="4"/>
        <v>0</v>
      </c>
      <c r="P45" s="19">
        <f t="shared" si="5"/>
        <v>-17.857142857142833</v>
      </c>
      <c r="Q45" s="20">
        <f t="shared" si="6"/>
        <v>0.95238095238095244</v>
      </c>
      <c r="R45" s="186"/>
      <c r="S45" s="27">
        <v>0.12291666666666666</v>
      </c>
      <c r="T45" s="27">
        <v>0.19583333333333333</v>
      </c>
      <c r="U45" s="4">
        <f t="shared" ref="U45:U50" si="34">(S45-T44)*24*60</f>
        <v>6.9999999999999947</v>
      </c>
      <c r="V45" s="21">
        <f t="shared" si="33"/>
        <v>105</v>
      </c>
      <c r="W45" s="22">
        <f>T45</f>
        <v>0.19583333333333333</v>
      </c>
      <c r="X45" s="22">
        <f>S46</f>
        <v>0.21388888888888888</v>
      </c>
      <c r="Y45" s="25"/>
      <c r="Z45" s="25"/>
      <c r="AA45" s="176"/>
      <c r="AB45" s="177"/>
      <c r="AC45" s="24"/>
      <c r="AD45" s="24"/>
      <c r="AE45" s="18">
        <f t="shared" si="8"/>
        <v>-142.85714285714266</v>
      </c>
      <c r="AF45" s="20">
        <f t="shared" si="9"/>
        <v>0.95238095238095244</v>
      </c>
      <c r="AG45" s="186"/>
    </row>
    <row r="46" spans="1:33" ht="15.75" customHeight="1">
      <c r="A46" s="183" t="s">
        <v>68</v>
      </c>
      <c r="B46" s="35" t="s">
        <v>108</v>
      </c>
      <c r="C46" s="174" t="s">
        <v>110</v>
      </c>
      <c r="D46" s="175"/>
      <c r="E46" s="35">
        <v>26.78</v>
      </c>
      <c r="F46" s="4">
        <v>3080</v>
      </c>
      <c r="G46" s="4">
        <f t="shared" si="31"/>
        <v>82482.400000000009</v>
      </c>
      <c r="H46" s="21" t="s">
        <v>133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2887.5000000000014</v>
      </c>
      <c r="N46" s="17">
        <f t="shared" si="3"/>
        <v>288.75000000000011</v>
      </c>
      <c r="O46" s="18">
        <f t="shared" si="4"/>
        <v>0</v>
      </c>
      <c r="P46" s="19">
        <f t="shared" si="5"/>
        <v>-11.249999999999886</v>
      </c>
      <c r="Q46" s="20">
        <f t="shared" si="6"/>
        <v>0.96250000000000036</v>
      </c>
      <c r="R46" s="186"/>
      <c r="S46" s="27">
        <v>0.21388888888888888</v>
      </c>
      <c r="T46" s="27">
        <v>0.2583333333333333</v>
      </c>
      <c r="U46" s="4">
        <f t="shared" si="34"/>
        <v>25.999999999999986</v>
      </c>
      <c r="V46" s="21">
        <f t="shared" si="33"/>
        <v>63.999999999999972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-112.49999999999864</v>
      </c>
      <c r="AF46" s="20">
        <f t="shared" si="9"/>
        <v>0.96250000000000047</v>
      </c>
      <c r="AG46" s="186"/>
    </row>
    <row r="47" spans="1:33" ht="15.75" customHeight="1">
      <c r="A47" s="183" t="s">
        <v>399</v>
      </c>
      <c r="B47" s="35" t="s">
        <v>108</v>
      </c>
      <c r="C47" s="174" t="s">
        <v>111</v>
      </c>
      <c r="D47" s="175"/>
      <c r="E47" s="35">
        <v>21.13</v>
      </c>
      <c r="F47" s="4">
        <v>5524</v>
      </c>
      <c r="G47" s="4">
        <f t="shared" si="31"/>
        <v>116722.12</v>
      </c>
      <c r="H47" s="21" t="s">
        <v>133</v>
      </c>
      <c r="I47" s="15">
        <v>10</v>
      </c>
      <c r="J47" s="17">
        <v>3000</v>
      </c>
      <c r="K47" s="16">
        <f t="shared" si="1"/>
        <v>300</v>
      </c>
      <c r="L47" s="15">
        <v>10</v>
      </c>
      <c r="M47" s="17">
        <f t="shared" si="32"/>
        <v>2857.2413793103451</v>
      </c>
      <c r="N47" s="17">
        <f t="shared" si="3"/>
        <v>285.72413793103453</v>
      </c>
      <c r="O47" s="18">
        <f t="shared" si="4"/>
        <v>0</v>
      </c>
      <c r="P47" s="19">
        <f t="shared" si="5"/>
        <v>-14.275862068965466</v>
      </c>
      <c r="Q47" s="20">
        <f t="shared" si="6"/>
        <v>0.95241379310344843</v>
      </c>
      <c r="R47" s="186"/>
      <c r="S47" s="27">
        <v>0.2631944444444444</v>
      </c>
      <c r="T47" s="27">
        <v>0.34374999999999994</v>
      </c>
      <c r="U47" s="4">
        <f t="shared" si="34"/>
        <v>6.9999999999999751</v>
      </c>
      <c r="V47" s="21">
        <f t="shared" si="33"/>
        <v>115.99999999999999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-142.75862068965489</v>
      </c>
      <c r="AF47" s="20">
        <f t="shared" si="9"/>
        <v>0.95241379310344843</v>
      </c>
      <c r="AG47" s="186"/>
    </row>
    <row r="48" spans="1:33" ht="15.75" customHeight="1">
      <c r="A48" s="183" t="s">
        <v>68</v>
      </c>
      <c r="B48" s="35" t="s">
        <v>108</v>
      </c>
      <c r="C48" s="174" t="s">
        <v>112</v>
      </c>
      <c r="D48" s="175"/>
      <c r="E48" s="35">
        <v>27.17</v>
      </c>
      <c r="F48" s="4">
        <v>7465</v>
      </c>
      <c r="G48" s="4">
        <f t="shared" si="31"/>
        <v>202824.05000000002</v>
      </c>
      <c r="H48" s="21" t="s">
        <v>133</v>
      </c>
      <c r="I48" s="15">
        <v>10</v>
      </c>
      <c r="J48" s="17">
        <v>3000</v>
      </c>
      <c r="K48" s="16">
        <f t="shared" si="1"/>
        <v>300</v>
      </c>
      <c r="L48" s="15">
        <v>10</v>
      </c>
      <c r="M48" s="17">
        <f t="shared" si="32"/>
        <v>2852.8662420382166</v>
      </c>
      <c r="N48" s="17">
        <f t="shared" si="3"/>
        <v>285.28662420382165</v>
      </c>
      <c r="O48" s="18">
        <f t="shared" si="4"/>
        <v>0</v>
      </c>
      <c r="P48" s="19">
        <f t="shared" si="5"/>
        <v>-14.713375796178354</v>
      </c>
      <c r="Q48" s="20">
        <f t="shared" si="6"/>
        <v>0.95095541401273886</v>
      </c>
      <c r="R48" s="186"/>
      <c r="S48" s="27">
        <v>0.34722222222222215</v>
      </c>
      <c r="T48" s="27">
        <v>0.45624999999999993</v>
      </c>
      <c r="U48" s="4">
        <f t="shared" si="34"/>
        <v>4.9999999999999822</v>
      </c>
      <c r="V48" s="21">
        <f t="shared" si="33"/>
        <v>157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8"/>
        <v>-147.13375796178343</v>
      </c>
      <c r="AF48" s="20">
        <f t="shared" si="9"/>
        <v>0.95095541401273886</v>
      </c>
      <c r="AG48" s="186"/>
    </row>
    <row r="49" spans="1:33" ht="15.75" customHeight="1">
      <c r="A49" s="183" t="s">
        <v>68</v>
      </c>
      <c r="B49" s="35" t="s">
        <v>108</v>
      </c>
      <c r="C49" s="174" t="s">
        <v>113</v>
      </c>
      <c r="D49" s="175"/>
      <c r="E49" s="35">
        <v>35.869999999999997</v>
      </c>
      <c r="F49" s="4">
        <v>4125</v>
      </c>
      <c r="G49" s="4">
        <f t="shared" si="31"/>
        <v>147963.75</v>
      </c>
      <c r="H49" s="21" t="s">
        <v>133</v>
      </c>
      <c r="I49" s="15">
        <v>9</v>
      </c>
      <c r="J49" s="17">
        <v>3000</v>
      </c>
      <c r="K49" s="16">
        <f t="shared" si="1"/>
        <v>333.33333333333331</v>
      </c>
      <c r="L49" s="15">
        <v>9</v>
      </c>
      <c r="M49" s="17">
        <f t="shared" si="32"/>
        <v>2877.9069767441856</v>
      </c>
      <c r="N49" s="17">
        <f t="shared" si="3"/>
        <v>319.76744186046506</v>
      </c>
      <c r="O49" s="18">
        <f t="shared" si="4"/>
        <v>0</v>
      </c>
      <c r="P49" s="19">
        <f t="shared" si="5"/>
        <v>-13.565891472868259</v>
      </c>
      <c r="Q49" s="20">
        <f t="shared" si="6"/>
        <v>0.95930232558139517</v>
      </c>
      <c r="R49" s="186"/>
      <c r="S49" s="27">
        <v>0.45972222222222214</v>
      </c>
      <c r="T49" s="27">
        <v>0.51944444444444438</v>
      </c>
      <c r="U49" s="4">
        <f t="shared" si="34"/>
        <v>4.9999999999999822</v>
      </c>
      <c r="V49" s="21">
        <f t="shared" si="33"/>
        <v>86.000000000000014</v>
      </c>
      <c r="W49" s="22">
        <f>T49</f>
        <v>0.51944444444444438</v>
      </c>
      <c r="X49" s="22">
        <f>S50</f>
        <v>0.55972222222222212</v>
      </c>
      <c r="Y49" s="25"/>
      <c r="Z49" s="25"/>
      <c r="AA49" s="176"/>
      <c r="AB49" s="177"/>
      <c r="AC49" s="24"/>
      <c r="AD49" s="24"/>
      <c r="AE49" s="18">
        <f t="shared" si="8"/>
        <v>-122.09302325581439</v>
      </c>
      <c r="AF49" s="20">
        <f t="shared" si="9"/>
        <v>0.95930232558139517</v>
      </c>
      <c r="AG49" s="186"/>
    </row>
    <row r="50" spans="1:33" ht="15.75" customHeight="1">
      <c r="A50" s="183" t="s">
        <v>68</v>
      </c>
      <c r="B50" s="35" t="s">
        <v>108</v>
      </c>
      <c r="C50" s="174" t="s">
        <v>305</v>
      </c>
      <c r="D50" s="175"/>
      <c r="E50" s="35">
        <v>27.03</v>
      </c>
      <c r="F50" s="4">
        <v>4540</v>
      </c>
      <c r="G50" s="4">
        <f t="shared" si="31"/>
        <v>122716.20000000001</v>
      </c>
      <c r="H50" s="21" t="s">
        <v>133</v>
      </c>
      <c r="I50" s="15">
        <v>8</v>
      </c>
      <c r="J50" s="17">
        <v>3000</v>
      </c>
      <c r="K50" s="16">
        <f t="shared" si="1"/>
        <v>375</v>
      </c>
      <c r="L50" s="15">
        <v>8</v>
      </c>
      <c r="M50" s="17">
        <f t="shared" si="32"/>
        <v>2867.3684210526321</v>
      </c>
      <c r="N50" s="17">
        <f t="shared" si="3"/>
        <v>358.42105263157902</v>
      </c>
      <c r="O50" s="18">
        <f t="shared" si="4"/>
        <v>0</v>
      </c>
      <c r="P50" s="19">
        <f t="shared" si="5"/>
        <v>-16.578947368420984</v>
      </c>
      <c r="Q50" s="20">
        <f t="shared" si="6"/>
        <v>0.95578947368421074</v>
      </c>
      <c r="R50" s="186"/>
      <c r="S50" s="27">
        <v>0.55972222222222212</v>
      </c>
      <c r="T50" s="27">
        <v>0.62569444444444433</v>
      </c>
      <c r="U50" s="4">
        <f t="shared" si="34"/>
        <v>57.999999999999957</v>
      </c>
      <c r="V50" s="21">
        <f t="shared" si="33"/>
        <v>94.999999999999986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-132.63157894736787</v>
      </c>
      <c r="AF50" s="20">
        <f t="shared" si="9"/>
        <v>0.95578947368421074</v>
      </c>
      <c r="AG50" s="186"/>
    </row>
    <row r="51" spans="1:33" ht="15.75" customHeight="1">
      <c r="A51" s="184" t="s">
        <v>68</v>
      </c>
      <c r="B51" s="35" t="s">
        <v>400</v>
      </c>
      <c r="C51" s="164"/>
      <c r="D51" s="165"/>
      <c r="E51" s="37"/>
      <c r="F51" s="4"/>
      <c r="G51" s="4"/>
      <c r="H51" s="4"/>
      <c r="I51" s="29">
        <v>9.2857142857142865</v>
      </c>
      <c r="J51" s="17">
        <v>3000</v>
      </c>
      <c r="K51" s="16">
        <f t="shared" si="1"/>
        <v>323.07692307692304</v>
      </c>
      <c r="L51" s="29">
        <v>9.2857142857142865</v>
      </c>
      <c r="M51" s="17">
        <f>AVERAGE(M44:M50)</f>
        <v>2866.8608394697485</v>
      </c>
      <c r="N51" s="16">
        <f t="shared" si="3"/>
        <v>308.73885963520365</v>
      </c>
      <c r="O51" s="18">
        <f t="shared" si="4"/>
        <v>0</v>
      </c>
      <c r="P51" s="19">
        <f t="shared" si="5"/>
        <v>-14.338063441719385</v>
      </c>
      <c r="Q51" s="20">
        <f t="shared" si="6"/>
        <v>0.95562027982324949</v>
      </c>
      <c r="R51" s="187"/>
      <c r="S51" s="27"/>
      <c r="T51" s="27"/>
      <c r="U51" s="4"/>
      <c r="V51" s="21"/>
      <c r="W51" s="22"/>
      <c r="X51" s="22"/>
      <c r="Y51" s="30">
        <f>SUM(Y44:Y50)</f>
        <v>0</v>
      </c>
      <c r="Z51" s="30">
        <f>SUM(Z44:Z50)</f>
        <v>0</v>
      </c>
      <c r="AA51" s="180"/>
      <c r="AB51" s="181"/>
      <c r="AC51" s="30">
        <v>7</v>
      </c>
      <c r="AD51" s="30">
        <f>SUM(AD44:AD50)</f>
        <v>0</v>
      </c>
      <c r="AE51" s="18">
        <f t="shared" si="8"/>
        <v>-133.1391605302515</v>
      </c>
      <c r="AF51" s="20">
        <f t="shared" si="9"/>
        <v>0.95562027982324949</v>
      </c>
      <c r="AG51" s="187"/>
    </row>
    <row r="52" spans="1:33" ht="15.75" customHeight="1">
      <c r="A52" s="178" t="s">
        <v>401</v>
      </c>
      <c r="B52" s="35" t="s">
        <v>84</v>
      </c>
      <c r="C52" s="163" t="s">
        <v>114</v>
      </c>
      <c r="D52" s="163"/>
      <c r="E52" s="35">
        <v>46</v>
      </c>
      <c r="F52" s="38">
        <v>1960</v>
      </c>
      <c r="G52" s="4">
        <f t="shared" ref="G52:G60" si="35">E52*F52</f>
        <v>90160</v>
      </c>
      <c r="H52" s="21" t="s">
        <v>133</v>
      </c>
      <c r="I52" s="15">
        <v>17</v>
      </c>
      <c r="J52" s="17">
        <v>2000</v>
      </c>
      <c r="K52" s="16">
        <f t="shared" si="1"/>
        <v>117.64705882352941</v>
      </c>
      <c r="L52" s="15">
        <v>17</v>
      </c>
      <c r="M52" s="17">
        <f t="shared" ref="M52:M60" si="36">F52/V52*60</f>
        <v>1927.8688524590168</v>
      </c>
      <c r="N52" s="17">
        <f t="shared" si="3"/>
        <v>113.40405014464805</v>
      </c>
      <c r="O52" s="18">
        <f t="shared" si="4"/>
        <v>0</v>
      </c>
      <c r="P52" s="19">
        <f t="shared" si="5"/>
        <v>-4.2430086788813526</v>
      </c>
      <c r="Q52" s="20">
        <f t="shared" si="6"/>
        <v>0.96393442622950853</v>
      </c>
      <c r="R52" s="170">
        <f>Q61</f>
        <v>0.95386208735889255</v>
      </c>
      <c r="S52" s="27">
        <v>0.20833333333333334</v>
      </c>
      <c r="T52" s="27">
        <v>0.25069444444444444</v>
      </c>
      <c r="U52" s="27"/>
      <c r="V52" s="21">
        <f t="shared" ref="V52:V60" si="37">(T52-S52)*24*60</f>
        <v>60.999999999999986</v>
      </c>
      <c r="W52" s="27"/>
      <c r="X52" s="27"/>
      <c r="Y52" s="27"/>
      <c r="Z52" s="27"/>
      <c r="AA52" s="162"/>
      <c r="AB52" s="162"/>
      <c r="AC52" s="24">
        <v>9</v>
      </c>
      <c r="AD52" s="24"/>
      <c r="AE52" s="18">
        <f t="shared" si="8"/>
        <v>-72.131147540983193</v>
      </c>
      <c r="AF52" s="20">
        <f t="shared" si="9"/>
        <v>0.96393442622950842</v>
      </c>
      <c r="AG52" s="170">
        <f>AF61</f>
        <v>0.95386208735889255</v>
      </c>
    </row>
    <row r="53" spans="1:33" ht="15.75" customHeight="1">
      <c r="A53" s="178" t="s">
        <v>72</v>
      </c>
      <c r="B53" s="35" t="s">
        <v>78</v>
      </c>
      <c r="C53" s="163" t="s">
        <v>115</v>
      </c>
      <c r="D53" s="163"/>
      <c r="E53" s="35">
        <v>56.43</v>
      </c>
      <c r="F53" s="38">
        <v>1995</v>
      </c>
      <c r="G53" s="4">
        <f t="shared" si="35"/>
        <v>112577.85</v>
      </c>
      <c r="H53" s="21" t="s">
        <v>133</v>
      </c>
      <c r="I53" s="15">
        <v>22</v>
      </c>
      <c r="J53" s="17">
        <v>2000</v>
      </c>
      <c r="K53" s="16">
        <f t="shared" si="1"/>
        <v>90.909090909090907</v>
      </c>
      <c r="L53" s="15">
        <v>22</v>
      </c>
      <c r="M53" s="17">
        <f t="shared" si="36"/>
        <v>1813.6363636363635</v>
      </c>
      <c r="N53" s="17">
        <f t="shared" si="3"/>
        <v>82.438016528925615</v>
      </c>
      <c r="O53" s="18">
        <f t="shared" si="4"/>
        <v>0</v>
      </c>
      <c r="P53" s="19">
        <f t="shared" si="5"/>
        <v>-8.471074380165291</v>
      </c>
      <c r="Q53" s="20">
        <f t="shared" si="6"/>
        <v>0.90681818181818175</v>
      </c>
      <c r="R53" s="170"/>
      <c r="S53" s="27">
        <v>0.25416666666666665</v>
      </c>
      <c r="T53" s="27">
        <v>0.3</v>
      </c>
      <c r="U53" s="4">
        <f t="shared" ref="U53:U60" si="38">IF(S53=TIME(17,0,0),"",(S53-T52)*24*60)</f>
        <v>4.9999999999999822</v>
      </c>
      <c r="V53" s="21">
        <f t="shared" si="37"/>
        <v>66</v>
      </c>
      <c r="W53" s="22"/>
      <c r="X53" s="22"/>
      <c r="Y53" s="22"/>
      <c r="Z53" s="22"/>
      <c r="AA53" s="162"/>
      <c r="AB53" s="162"/>
      <c r="AC53" s="24"/>
      <c r="AD53" s="24"/>
      <c r="AE53" s="18">
        <f t="shared" si="8"/>
        <v>-186.36363636363649</v>
      </c>
      <c r="AF53" s="20">
        <f t="shared" si="9"/>
        <v>0.90681818181818175</v>
      </c>
      <c r="AG53" s="170"/>
    </row>
    <row r="54" spans="1:33" ht="15.75" customHeight="1">
      <c r="A54" s="178" t="s">
        <v>401</v>
      </c>
      <c r="B54" s="35" t="s">
        <v>78</v>
      </c>
      <c r="C54" s="174" t="s">
        <v>116</v>
      </c>
      <c r="D54" s="175"/>
      <c r="E54" s="35">
        <v>51.75</v>
      </c>
      <c r="F54" s="38">
        <v>1464</v>
      </c>
      <c r="G54" s="4">
        <f t="shared" si="35"/>
        <v>75762</v>
      </c>
      <c r="H54" s="21" t="s">
        <v>133</v>
      </c>
      <c r="I54" s="15">
        <v>25</v>
      </c>
      <c r="J54" s="17">
        <v>2000</v>
      </c>
      <c r="K54" s="16">
        <f t="shared" si="1"/>
        <v>80</v>
      </c>
      <c r="L54" s="15">
        <v>25</v>
      </c>
      <c r="M54" s="17">
        <f t="shared" si="36"/>
        <v>1952</v>
      </c>
      <c r="N54" s="17">
        <f t="shared" si="3"/>
        <v>78.08</v>
      </c>
      <c r="O54" s="18">
        <f t="shared" si="4"/>
        <v>0</v>
      </c>
      <c r="P54" s="19">
        <f t="shared" si="5"/>
        <v>-1.9200000000000017</v>
      </c>
      <c r="Q54" s="20">
        <f t="shared" si="6"/>
        <v>0.97599999999999998</v>
      </c>
      <c r="R54" s="170"/>
      <c r="S54" s="27">
        <v>0.3034722222222222</v>
      </c>
      <c r="T54" s="27">
        <v>0.3347222222222222</v>
      </c>
      <c r="U54" s="4">
        <f t="shared" si="38"/>
        <v>4.9999999999999822</v>
      </c>
      <c r="V54" s="21">
        <f t="shared" si="37"/>
        <v>45</v>
      </c>
      <c r="W54" s="22"/>
      <c r="X54" s="22"/>
      <c r="Y54" s="25"/>
      <c r="Z54" s="25"/>
      <c r="AA54" s="162"/>
      <c r="AB54" s="162"/>
      <c r="AC54" s="24"/>
      <c r="AD54" s="24"/>
      <c r="AE54" s="18">
        <f t="shared" si="8"/>
        <v>-48</v>
      </c>
      <c r="AF54" s="20">
        <f t="shared" si="9"/>
        <v>0.97599999999999998</v>
      </c>
      <c r="AG54" s="170"/>
    </row>
    <row r="55" spans="1:33" ht="15.75" customHeight="1">
      <c r="A55" s="178" t="s">
        <v>401</v>
      </c>
      <c r="B55" s="35" t="s">
        <v>78</v>
      </c>
      <c r="C55" s="39" t="s">
        <v>117</v>
      </c>
      <c r="D55" s="40"/>
      <c r="E55" s="35">
        <v>54.09</v>
      </c>
      <c r="F55" s="38">
        <v>1717</v>
      </c>
      <c r="G55" s="4">
        <f t="shared" si="35"/>
        <v>92872.53</v>
      </c>
      <c r="H55" s="21" t="s">
        <v>133</v>
      </c>
      <c r="I55" s="15">
        <v>19</v>
      </c>
      <c r="J55" s="17">
        <v>2000</v>
      </c>
      <c r="K55" s="16">
        <f t="shared" si="1"/>
        <v>105.26315789473684</v>
      </c>
      <c r="L55" s="15">
        <v>19</v>
      </c>
      <c r="M55" s="17">
        <f t="shared" si="36"/>
        <v>1839.6428571428557</v>
      </c>
      <c r="N55" s="17">
        <f t="shared" si="3"/>
        <v>96.82330827067662</v>
      </c>
      <c r="O55" s="18">
        <f t="shared" si="4"/>
        <v>0</v>
      </c>
      <c r="P55" s="19">
        <f t="shared" si="5"/>
        <v>-8.4398496240602157</v>
      </c>
      <c r="Q55" s="20">
        <f t="shared" si="6"/>
        <v>0.9198214285714279</v>
      </c>
      <c r="R55" s="170"/>
      <c r="S55" s="27">
        <v>0.33819444444444441</v>
      </c>
      <c r="T55" s="27">
        <v>0.37708333333333333</v>
      </c>
      <c r="U55" s="4">
        <f t="shared" si="38"/>
        <v>4.9999999999999822</v>
      </c>
      <c r="V55" s="21">
        <f t="shared" si="37"/>
        <v>56.000000000000043</v>
      </c>
      <c r="W55" s="22"/>
      <c r="X55" s="22"/>
      <c r="Y55" s="25"/>
      <c r="Z55" s="25"/>
      <c r="AA55" s="162"/>
      <c r="AB55" s="162"/>
      <c r="AC55" s="24"/>
      <c r="AD55" s="24"/>
      <c r="AE55" s="18">
        <f t="shared" si="8"/>
        <v>-160.35714285714425</v>
      </c>
      <c r="AF55" s="20">
        <f t="shared" si="9"/>
        <v>0.9198214285714279</v>
      </c>
      <c r="AG55" s="170"/>
    </row>
    <row r="56" spans="1:33" ht="15.75" customHeight="1">
      <c r="A56" s="178" t="s">
        <v>401</v>
      </c>
      <c r="B56" s="35" t="s">
        <v>78</v>
      </c>
      <c r="C56" s="39" t="s">
        <v>118</v>
      </c>
      <c r="D56" s="40"/>
      <c r="E56" s="35">
        <v>57.73</v>
      </c>
      <c r="F56" s="38">
        <v>1283</v>
      </c>
      <c r="G56" s="4">
        <f t="shared" si="35"/>
        <v>74067.59</v>
      </c>
      <c r="H56" s="21" t="s">
        <v>133</v>
      </c>
      <c r="I56" s="15">
        <v>16</v>
      </c>
      <c r="J56" s="17">
        <v>1500</v>
      </c>
      <c r="K56" s="16">
        <f t="shared" si="1"/>
        <v>93.75</v>
      </c>
      <c r="L56" s="15">
        <v>16</v>
      </c>
      <c r="M56" s="17">
        <f t="shared" si="36"/>
        <v>1452.4528301886801</v>
      </c>
      <c r="N56" s="17">
        <f t="shared" si="3"/>
        <v>90.778301886792505</v>
      </c>
      <c r="O56" s="18">
        <f t="shared" si="4"/>
        <v>0</v>
      </c>
      <c r="P56" s="19">
        <f t="shared" si="5"/>
        <v>-2.9716981132074949</v>
      </c>
      <c r="Q56" s="20">
        <f t="shared" si="6"/>
        <v>0.96830188679245344</v>
      </c>
      <c r="R56" s="170"/>
      <c r="S56" s="27">
        <v>0.70833333333333337</v>
      </c>
      <c r="T56" s="27">
        <v>0.74513888888888891</v>
      </c>
      <c r="U56" s="4" t="str">
        <f t="shared" si="38"/>
        <v/>
      </c>
      <c r="V56" s="21">
        <f t="shared" si="37"/>
        <v>52.999999999999972</v>
      </c>
      <c r="W56" s="22"/>
      <c r="X56" s="22"/>
      <c r="Y56" s="25"/>
      <c r="Z56" s="25"/>
      <c r="AA56" s="162"/>
      <c r="AB56" s="162"/>
      <c r="AC56" s="24"/>
      <c r="AD56" s="24"/>
      <c r="AE56" s="18">
        <f t="shared" si="8"/>
        <v>-47.547169811319918</v>
      </c>
      <c r="AF56" s="20">
        <f t="shared" si="9"/>
        <v>0.96830188679245344</v>
      </c>
      <c r="AG56" s="170"/>
    </row>
    <row r="57" spans="1:33" ht="15.75" customHeight="1">
      <c r="A57" s="178" t="s">
        <v>401</v>
      </c>
      <c r="B57" s="35" t="s">
        <v>78</v>
      </c>
      <c r="C57" s="174" t="s">
        <v>119</v>
      </c>
      <c r="D57" s="175"/>
      <c r="E57" s="35">
        <v>54.29</v>
      </c>
      <c r="F57" s="38">
        <v>1441</v>
      </c>
      <c r="G57" s="4">
        <f t="shared" si="35"/>
        <v>78231.89</v>
      </c>
      <c r="H57" s="21" t="s">
        <v>133</v>
      </c>
      <c r="I57" s="15">
        <v>20</v>
      </c>
      <c r="J57" s="17">
        <v>2000</v>
      </c>
      <c r="K57" s="16">
        <f t="shared" si="1"/>
        <v>100</v>
      </c>
      <c r="L57" s="15">
        <v>20</v>
      </c>
      <c r="M57" s="17">
        <f t="shared" si="36"/>
        <v>1921.3333333333335</v>
      </c>
      <c r="N57" s="17">
        <f t="shared" si="3"/>
        <v>96.066666666666677</v>
      </c>
      <c r="O57" s="18">
        <f t="shared" si="4"/>
        <v>0</v>
      </c>
      <c r="P57" s="19">
        <f t="shared" si="5"/>
        <v>-3.9333333333333229</v>
      </c>
      <c r="Q57" s="20">
        <f t="shared" si="6"/>
        <v>0.96066666666666678</v>
      </c>
      <c r="R57" s="170"/>
      <c r="S57" s="27">
        <v>0.75069444444444444</v>
      </c>
      <c r="T57" s="27">
        <v>0.78194444444444444</v>
      </c>
      <c r="U57" s="4">
        <f t="shared" si="38"/>
        <v>7.9999999999999716</v>
      </c>
      <c r="V57" s="21">
        <f t="shared" si="37"/>
        <v>45</v>
      </c>
      <c r="W57" s="22"/>
      <c r="X57" s="22"/>
      <c r="Y57" s="25"/>
      <c r="Z57" s="25"/>
      <c r="AA57" s="176"/>
      <c r="AB57" s="177"/>
      <c r="AC57" s="24"/>
      <c r="AD57" s="24"/>
      <c r="AE57" s="18">
        <f t="shared" si="8"/>
        <v>-78.666666666666515</v>
      </c>
      <c r="AF57" s="20">
        <f t="shared" si="9"/>
        <v>0.96066666666666678</v>
      </c>
      <c r="AG57" s="170"/>
    </row>
    <row r="58" spans="1:33" ht="15.75" customHeight="1">
      <c r="A58" s="178" t="s">
        <v>401</v>
      </c>
      <c r="B58" s="35" t="s">
        <v>78</v>
      </c>
      <c r="C58" s="174" t="s">
        <v>120</v>
      </c>
      <c r="D58" s="175"/>
      <c r="E58" s="35">
        <v>55.56</v>
      </c>
      <c r="F58" s="38">
        <v>1000</v>
      </c>
      <c r="G58" s="4">
        <f t="shared" si="35"/>
        <v>55560</v>
      </c>
      <c r="H58" s="21">
        <v>2</v>
      </c>
      <c r="I58" s="15">
        <v>17</v>
      </c>
      <c r="J58" s="17">
        <v>2000</v>
      </c>
      <c r="K58" s="16">
        <f t="shared" si="1"/>
        <v>117.64705882352941</v>
      </c>
      <c r="L58" s="15">
        <v>17</v>
      </c>
      <c r="M58" s="17">
        <f t="shared" si="36"/>
        <v>1935.483870967739</v>
      </c>
      <c r="N58" s="17">
        <f t="shared" si="3"/>
        <v>113.85199240986699</v>
      </c>
      <c r="O58" s="18">
        <f t="shared" si="4"/>
        <v>0</v>
      </c>
      <c r="P58" s="19">
        <f t="shared" si="5"/>
        <v>-3.7950664136624113</v>
      </c>
      <c r="Q58" s="20">
        <f t="shared" si="6"/>
        <v>0.96774193548386955</v>
      </c>
      <c r="R58" s="170"/>
      <c r="S58" s="27">
        <v>0.78541666666666665</v>
      </c>
      <c r="T58" s="27">
        <v>0.80694444444444446</v>
      </c>
      <c r="U58" s="4">
        <f t="shared" si="38"/>
        <v>4.9999999999999822</v>
      </c>
      <c r="V58" s="21">
        <f t="shared" si="37"/>
        <v>31.00000000000005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8"/>
        <v>-64.516129032261006</v>
      </c>
      <c r="AF58" s="20">
        <f t="shared" si="9"/>
        <v>0.96774193548386944</v>
      </c>
      <c r="AG58" s="170"/>
    </row>
    <row r="59" spans="1:33" ht="15.75" customHeight="1">
      <c r="A59" s="178" t="s">
        <v>401</v>
      </c>
      <c r="B59" s="35" t="s">
        <v>78</v>
      </c>
      <c r="C59" s="174" t="s">
        <v>121</v>
      </c>
      <c r="D59" s="175"/>
      <c r="E59" s="35">
        <v>55.32</v>
      </c>
      <c r="F59" s="38">
        <v>1594</v>
      </c>
      <c r="G59" s="4">
        <f t="shared" si="35"/>
        <v>88180.08</v>
      </c>
      <c r="H59" s="21" t="s">
        <v>133</v>
      </c>
      <c r="I59" s="15">
        <v>15</v>
      </c>
      <c r="J59" s="17">
        <v>2000</v>
      </c>
      <c r="K59" s="16">
        <f t="shared" si="1"/>
        <v>133.33333333333334</v>
      </c>
      <c r="L59" s="15">
        <v>15</v>
      </c>
      <c r="M59" s="17">
        <f t="shared" si="36"/>
        <v>1912.8000000000006</v>
      </c>
      <c r="N59" s="17">
        <f t="shared" si="3"/>
        <v>127.52000000000004</v>
      </c>
      <c r="O59" s="18">
        <f t="shared" si="4"/>
        <v>0</v>
      </c>
      <c r="P59" s="19">
        <f t="shared" si="5"/>
        <v>-5.8133333333333042</v>
      </c>
      <c r="Q59" s="20">
        <f t="shared" si="6"/>
        <v>0.95640000000000025</v>
      </c>
      <c r="R59" s="170"/>
      <c r="S59" s="27">
        <v>0.8125</v>
      </c>
      <c r="T59" s="27">
        <v>0.84722222222222221</v>
      </c>
      <c r="U59" s="4">
        <f t="shared" si="38"/>
        <v>7.9999999999999716</v>
      </c>
      <c r="V59" s="21">
        <f t="shared" si="37"/>
        <v>49.999999999999986</v>
      </c>
      <c r="W59" s="22">
        <f>T59</f>
        <v>0.84722222222222221</v>
      </c>
      <c r="X59" s="22">
        <f>S60</f>
        <v>0.88680555555555551</v>
      </c>
      <c r="Y59" s="25"/>
      <c r="Z59" s="25"/>
      <c r="AA59" s="176"/>
      <c r="AB59" s="177"/>
      <c r="AC59" s="24"/>
      <c r="AD59" s="24"/>
      <c r="AE59" s="18">
        <f t="shared" si="8"/>
        <v>-87.199999999999363</v>
      </c>
      <c r="AF59" s="20">
        <f t="shared" si="9"/>
        <v>0.95640000000000036</v>
      </c>
      <c r="AG59" s="170"/>
    </row>
    <row r="60" spans="1:33">
      <c r="A60" s="178" t="s">
        <v>72</v>
      </c>
      <c r="B60" s="35" t="s">
        <v>78</v>
      </c>
      <c r="C60" s="174" t="s">
        <v>120</v>
      </c>
      <c r="D60" s="175"/>
      <c r="E60" s="35">
        <v>55.56</v>
      </c>
      <c r="F60" s="38">
        <v>1227</v>
      </c>
      <c r="G60" s="4">
        <f t="shared" si="35"/>
        <v>68172.12000000001</v>
      </c>
      <c r="H60" s="21" t="s">
        <v>133</v>
      </c>
      <c r="I60" s="15">
        <v>17</v>
      </c>
      <c r="J60" s="17">
        <v>2000</v>
      </c>
      <c r="K60" s="16">
        <f t="shared" si="1"/>
        <v>117.64705882352941</v>
      </c>
      <c r="L60" s="15">
        <v>17</v>
      </c>
      <c r="M60" s="17">
        <f t="shared" si="36"/>
        <v>1937.3684210526299</v>
      </c>
      <c r="N60" s="17">
        <f t="shared" si="3"/>
        <v>113.96284829721353</v>
      </c>
      <c r="O60" s="18">
        <f t="shared" si="4"/>
        <v>0</v>
      </c>
      <c r="P60" s="19">
        <f t="shared" si="5"/>
        <v>-3.68421052631588</v>
      </c>
      <c r="Q60" s="20">
        <f t="shared" si="6"/>
        <v>0.96868421052631504</v>
      </c>
      <c r="R60" s="170"/>
      <c r="S60" s="27">
        <v>0.88680555555555551</v>
      </c>
      <c r="T60" s="27">
        <v>0.91319444444444442</v>
      </c>
      <c r="U60" s="4">
        <f t="shared" si="38"/>
        <v>56.999999999999957</v>
      </c>
      <c r="V60" s="21">
        <f t="shared" si="37"/>
        <v>38.000000000000028</v>
      </c>
      <c r="W60" s="22"/>
      <c r="X60" s="22"/>
      <c r="Y60" s="25"/>
      <c r="Z60" s="25"/>
      <c r="AA60" s="176"/>
      <c r="AB60" s="177"/>
      <c r="AC60" s="24"/>
      <c r="AD60" s="24"/>
      <c r="AE60" s="18">
        <f t="shared" si="8"/>
        <v>-62.631578947370144</v>
      </c>
      <c r="AF60" s="20">
        <f t="shared" si="9"/>
        <v>0.96868421052631493</v>
      </c>
      <c r="AG60" s="170"/>
    </row>
    <row r="61" spans="1:33">
      <c r="A61" s="179" t="s">
        <v>72</v>
      </c>
      <c r="B61" s="35" t="s">
        <v>400</v>
      </c>
      <c r="C61" s="171"/>
      <c r="D61" s="171"/>
      <c r="E61" s="36"/>
      <c r="F61" s="16"/>
      <c r="G61" s="16"/>
      <c r="H61" s="4"/>
      <c r="I61" s="29">
        <v>18.666666666666668</v>
      </c>
      <c r="J61" s="17">
        <v>1944.4444444444443</v>
      </c>
      <c r="K61" s="16">
        <f t="shared" si="1"/>
        <v>104.16666666666666</v>
      </c>
      <c r="L61" s="29">
        <v>18.666666666666668</v>
      </c>
      <c r="M61" s="17">
        <f>AVERAGE(M52:M60)</f>
        <v>1854.7318365311799</v>
      </c>
      <c r="N61" s="16">
        <f t="shared" si="3"/>
        <v>99.360634099884635</v>
      </c>
      <c r="O61" s="18">
        <f t="shared" si="4"/>
        <v>0</v>
      </c>
      <c r="P61" s="19">
        <f t="shared" si="5"/>
        <v>-4.8060325667820223</v>
      </c>
      <c r="Q61" s="20">
        <f t="shared" si="6"/>
        <v>0.95386208735889255</v>
      </c>
      <c r="R61" s="170"/>
      <c r="S61" s="27"/>
      <c r="T61" s="27"/>
      <c r="U61" s="4"/>
      <c r="V61" s="21"/>
      <c r="W61" s="16"/>
      <c r="X61" s="16"/>
      <c r="Y61" s="30">
        <f>SUM(Y52:Y60)</f>
        <v>0</v>
      </c>
      <c r="Z61" s="30">
        <f>SUM(Z52:Z60)</f>
        <v>0</v>
      </c>
      <c r="AA61" s="166"/>
      <c r="AB61" s="166"/>
      <c r="AC61" s="30">
        <v>9</v>
      </c>
      <c r="AD61" s="30">
        <f>SUM(AD52:AD60)</f>
        <v>0</v>
      </c>
      <c r="AE61" s="18">
        <f>M61-J61</f>
        <v>-89.712607913264492</v>
      </c>
      <c r="AF61" s="20">
        <f t="shared" si="9"/>
        <v>0.95386208735889255</v>
      </c>
      <c r="AG61" s="170"/>
    </row>
    <row r="62" spans="1:33" ht="15.75" customHeight="1">
      <c r="A62" s="172" t="s">
        <v>297</v>
      </c>
      <c r="B62" s="4" t="s">
        <v>84</v>
      </c>
      <c r="C62" s="163" t="s">
        <v>122</v>
      </c>
      <c r="D62" s="163"/>
      <c r="E62" s="35">
        <v>26.97</v>
      </c>
      <c r="F62" s="38">
        <v>2860</v>
      </c>
      <c r="G62" s="4">
        <f t="shared" ref="G62:G66" si="39">E62*F62</f>
        <v>77134.2</v>
      </c>
      <c r="H62" s="21" t="s">
        <v>133</v>
      </c>
      <c r="I62" s="15">
        <v>8</v>
      </c>
      <c r="J62" s="17">
        <v>1500</v>
      </c>
      <c r="K62" s="16">
        <f t="shared" si="1"/>
        <v>187.5</v>
      </c>
      <c r="L62" s="15">
        <v>8</v>
      </c>
      <c r="M62" s="17">
        <f t="shared" ref="M62:M66" si="40">F62/V62*60</f>
        <v>1430</v>
      </c>
      <c r="N62" s="16">
        <f t="shared" si="3"/>
        <v>178.75</v>
      </c>
      <c r="O62" s="18">
        <f t="shared" si="4"/>
        <v>0</v>
      </c>
      <c r="P62" s="19">
        <f t="shared" si="5"/>
        <v>-8.75</v>
      </c>
      <c r="Q62" s="20">
        <f t="shared" si="6"/>
        <v>0.95333333333333337</v>
      </c>
      <c r="R62" s="170">
        <f>Q67</f>
        <v>0.95999229936729935</v>
      </c>
      <c r="S62" s="27">
        <v>0.20833333333333334</v>
      </c>
      <c r="T62" s="27">
        <v>0.29166666666666669</v>
      </c>
      <c r="U62" s="4"/>
      <c r="V62" s="21">
        <f t="shared" ref="V62:V66" si="41">(T62-S62)*24*60</f>
        <v>120</v>
      </c>
      <c r="W62" s="27"/>
      <c r="X62" s="27"/>
      <c r="Y62" s="27"/>
      <c r="Z62" s="27"/>
      <c r="AA62" s="162"/>
      <c r="AB62" s="162"/>
      <c r="AC62" s="24">
        <v>5</v>
      </c>
      <c r="AD62" s="24"/>
      <c r="AE62" s="18">
        <f t="shared" ref="AE62:AE73" si="42">M62-J62</f>
        <v>-70</v>
      </c>
      <c r="AF62" s="20">
        <f t="shared" si="9"/>
        <v>0.95333333333333337</v>
      </c>
      <c r="AG62" s="170">
        <f>AF67</f>
        <v>0.95999229936729924</v>
      </c>
    </row>
    <row r="63" spans="1:33" ht="15.75" customHeight="1">
      <c r="A63" s="172" t="s">
        <v>402</v>
      </c>
      <c r="B63" s="4" t="s">
        <v>84</v>
      </c>
      <c r="C63" s="163" t="s">
        <v>123</v>
      </c>
      <c r="D63" s="163"/>
      <c r="E63" s="35">
        <v>27.4</v>
      </c>
      <c r="F63" s="38">
        <v>769</v>
      </c>
      <c r="G63" s="4">
        <f t="shared" si="39"/>
        <v>21070.6</v>
      </c>
      <c r="H63" s="21" t="s">
        <v>133</v>
      </c>
      <c r="I63" s="15">
        <v>10</v>
      </c>
      <c r="J63" s="17">
        <v>1500</v>
      </c>
      <c r="K63" s="16">
        <f t="shared" si="1"/>
        <v>150</v>
      </c>
      <c r="L63" s="15">
        <v>10</v>
      </c>
      <c r="M63" s="17">
        <f t="shared" si="40"/>
        <v>1441.8750000000018</v>
      </c>
      <c r="N63" s="16">
        <f t="shared" si="3"/>
        <v>144.18750000000017</v>
      </c>
      <c r="O63" s="18">
        <f t="shared" si="4"/>
        <v>0</v>
      </c>
      <c r="P63" s="19">
        <f t="shared" si="5"/>
        <v>-5.8124999999998295</v>
      </c>
      <c r="Q63" s="20">
        <f t="shared" si="6"/>
        <v>0.96125000000000116</v>
      </c>
      <c r="R63" s="170"/>
      <c r="S63" s="27">
        <v>0.29652777777777778</v>
      </c>
      <c r="T63" s="27">
        <v>0.31874999999999998</v>
      </c>
      <c r="U63" s="4">
        <f t="shared" ref="U63:U66" si="43">(S63-T62)*24*60</f>
        <v>6.9999999999999751</v>
      </c>
      <c r="V63" s="21">
        <f t="shared" si="41"/>
        <v>31.999999999999964</v>
      </c>
      <c r="W63" s="4"/>
      <c r="X63" s="4"/>
      <c r="Y63" s="4"/>
      <c r="Z63" s="4"/>
      <c r="AA63" s="162"/>
      <c r="AB63" s="162"/>
      <c r="AC63" s="24"/>
      <c r="AD63" s="24"/>
      <c r="AE63" s="18">
        <f t="shared" si="42"/>
        <v>-58.124999999998181</v>
      </c>
      <c r="AF63" s="20">
        <f t="shared" si="9"/>
        <v>0.96125000000000116</v>
      </c>
      <c r="AG63" s="170"/>
    </row>
    <row r="64" spans="1:33" ht="15.75" customHeight="1">
      <c r="A64" s="172" t="s">
        <v>297</v>
      </c>
      <c r="B64" s="4" t="s">
        <v>108</v>
      </c>
      <c r="C64" s="163" t="s">
        <v>125</v>
      </c>
      <c r="D64" s="163"/>
      <c r="E64" s="35">
        <v>37.85</v>
      </c>
      <c r="F64" s="38">
        <v>1999</v>
      </c>
      <c r="G64" s="4">
        <f t="shared" si="39"/>
        <v>75662.150000000009</v>
      </c>
      <c r="H64" s="21" t="s">
        <v>133</v>
      </c>
      <c r="I64" s="15">
        <v>12</v>
      </c>
      <c r="J64" s="17">
        <v>2000</v>
      </c>
      <c r="K64" s="16">
        <f t="shared" si="1"/>
        <v>166.66666666666666</v>
      </c>
      <c r="L64" s="15">
        <v>12</v>
      </c>
      <c r="M64" s="17">
        <f t="shared" si="40"/>
        <v>1903.8095238095234</v>
      </c>
      <c r="N64" s="16">
        <f t="shared" si="3"/>
        <v>158.65079365079362</v>
      </c>
      <c r="O64" s="18">
        <f t="shared" si="4"/>
        <v>0</v>
      </c>
      <c r="P64" s="19">
        <f t="shared" si="5"/>
        <v>-8.0158730158730407</v>
      </c>
      <c r="Q64" s="20">
        <f t="shared" si="6"/>
        <v>0.9519047619047617</v>
      </c>
      <c r="R64" s="170"/>
      <c r="S64" s="27">
        <v>0.32222222222222219</v>
      </c>
      <c r="T64" s="27">
        <v>0.3659722222222222</v>
      </c>
      <c r="U64" s="4">
        <f t="shared" si="43"/>
        <v>4.9999999999999822</v>
      </c>
      <c r="V64" s="21">
        <f t="shared" si="41"/>
        <v>63.000000000000014</v>
      </c>
      <c r="W64" s="4"/>
      <c r="X64" s="4"/>
      <c r="Y64" s="4"/>
      <c r="Z64" s="4"/>
      <c r="AA64" s="162"/>
      <c r="AB64" s="162"/>
      <c r="AC64" s="24"/>
      <c r="AD64" s="24"/>
      <c r="AE64" s="18">
        <f t="shared" si="42"/>
        <v>-96.190476190476602</v>
      </c>
      <c r="AF64" s="20">
        <f t="shared" si="9"/>
        <v>0.9519047619047617</v>
      </c>
      <c r="AG64" s="170"/>
    </row>
    <row r="65" spans="1:33" ht="15.75" customHeight="1">
      <c r="A65" s="172" t="s">
        <v>402</v>
      </c>
      <c r="B65" s="4" t="s">
        <v>108</v>
      </c>
      <c r="C65" s="163" t="s">
        <v>126</v>
      </c>
      <c r="D65" s="163"/>
      <c r="E65" s="35">
        <v>34.36</v>
      </c>
      <c r="F65" s="38">
        <v>2037</v>
      </c>
      <c r="G65" s="4">
        <f t="shared" si="39"/>
        <v>69991.319999999992</v>
      </c>
      <c r="H65" s="21" t="s">
        <v>133</v>
      </c>
      <c r="I65" s="15">
        <v>10</v>
      </c>
      <c r="J65" s="17">
        <v>3000</v>
      </c>
      <c r="K65" s="16">
        <f t="shared" si="1"/>
        <v>300</v>
      </c>
      <c r="L65" s="15">
        <v>10</v>
      </c>
      <c r="M65" s="17">
        <f t="shared" si="40"/>
        <v>2909.9999999999991</v>
      </c>
      <c r="N65" s="16">
        <f t="shared" si="3"/>
        <v>290.99999999999989</v>
      </c>
      <c r="O65" s="18">
        <f t="shared" si="4"/>
        <v>0</v>
      </c>
      <c r="P65" s="19">
        <f t="shared" si="5"/>
        <v>-9.0000000000001137</v>
      </c>
      <c r="Q65" s="20">
        <f t="shared" si="6"/>
        <v>0.96999999999999964</v>
      </c>
      <c r="R65" s="170"/>
      <c r="S65" s="27">
        <v>0.37013888888888885</v>
      </c>
      <c r="T65" s="27">
        <v>0.39930555555555552</v>
      </c>
      <c r="U65" s="4">
        <f t="shared" si="43"/>
        <v>5.9999999999999787</v>
      </c>
      <c r="V65" s="21">
        <f t="shared" si="41"/>
        <v>42.000000000000014</v>
      </c>
      <c r="W65" s="4"/>
      <c r="X65" s="4"/>
      <c r="Y65" s="4"/>
      <c r="Z65" s="4"/>
      <c r="AA65" s="162"/>
      <c r="AB65" s="162"/>
      <c r="AC65" s="24"/>
      <c r="AD65" s="24"/>
      <c r="AE65" s="18">
        <f t="shared" si="42"/>
        <v>-90.000000000000909</v>
      </c>
      <c r="AF65" s="20">
        <f t="shared" si="9"/>
        <v>0.96999999999999975</v>
      </c>
      <c r="AG65" s="170"/>
    </row>
    <row r="66" spans="1:33">
      <c r="A66" s="173" t="s">
        <v>297</v>
      </c>
      <c r="B66" s="4" t="s">
        <v>108</v>
      </c>
      <c r="C66" s="163" t="s">
        <v>127</v>
      </c>
      <c r="D66" s="163"/>
      <c r="E66" s="35">
        <v>35.119999999999997</v>
      </c>
      <c r="F66" s="38">
        <v>4982</v>
      </c>
      <c r="G66" s="4">
        <f t="shared" si="39"/>
        <v>174967.84</v>
      </c>
      <c r="H66" s="21" t="s">
        <v>133</v>
      </c>
      <c r="I66" s="15">
        <v>10</v>
      </c>
      <c r="J66" s="17">
        <v>3000</v>
      </c>
      <c r="K66" s="16">
        <f t="shared" si="1"/>
        <v>300</v>
      </c>
      <c r="L66" s="15">
        <v>10</v>
      </c>
      <c r="M66" s="17">
        <f t="shared" si="40"/>
        <v>2874.2307692307681</v>
      </c>
      <c r="N66" s="16">
        <f t="shared" si="3"/>
        <v>287.42307692307679</v>
      </c>
      <c r="O66" s="18">
        <f t="shared" si="4"/>
        <v>0</v>
      </c>
      <c r="P66" s="19">
        <f t="shared" si="5"/>
        <v>-12.576923076923208</v>
      </c>
      <c r="Q66" s="20">
        <f t="shared" si="6"/>
        <v>0.9580769230769226</v>
      </c>
      <c r="R66" s="170"/>
      <c r="S66" s="27">
        <v>0.40277777777777773</v>
      </c>
      <c r="T66" s="27">
        <v>0.47499999999999998</v>
      </c>
      <c r="U66" s="4">
        <f t="shared" si="43"/>
        <v>4.9999999999999822</v>
      </c>
      <c r="V66" s="21">
        <f t="shared" si="41"/>
        <v>104.00000000000003</v>
      </c>
      <c r="W66" s="22"/>
      <c r="X66" s="22"/>
      <c r="Y66" s="22"/>
      <c r="Z66" s="22"/>
      <c r="AA66" s="162"/>
      <c r="AB66" s="162"/>
      <c r="AC66" s="24"/>
      <c r="AD66" s="24"/>
      <c r="AE66" s="18">
        <f t="shared" si="42"/>
        <v>-125.76923076923185</v>
      </c>
      <c r="AF66" s="20">
        <f t="shared" si="9"/>
        <v>0.95807692307692272</v>
      </c>
      <c r="AG66" s="170"/>
    </row>
    <row r="67" spans="1:33">
      <c r="A67" s="173" t="s">
        <v>402</v>
      </c>
      <c r="B67" s="35" t="s">
        <v>48</v>
      </c>
      <c r="C67" s="171"/>
      <c r="D67" s="171"/>
      <c r="E67" s="36"/>
      <c r="F67" s="16"/>
      <c r="G67" s="16"/>
      <c r="H67" s="4"/>
      <c r="I67" s="29">
        <v>10</v>
      </c>
      <c r="J67" s="17">
        <v>2200</v>
      </c>
      <c r="K67" s="16">
        <f t="shared" si="1"/>
        <v>220</v>
      </c>
      <c r="L67" s="29">
        <v>10</v>
      </c>
      <c r="M67" s="17">
        <f>AVERAGE(M62:M66)</f>
        <v>2111.9830586080584</v>
      </c>
      <c r="N67" s="16">
        <f t="shared" si="3"/>
        <v>211.19830586080585</v>
      </c>
      <c r="O67" s="18">
        <f t="shared" si="4"/>
        <v>0</v>
      </c>
      <c r="P67" s="19">
        <f t="shared" si="5"/>
        <v>-8.8016941391941543</v>
      </c>
      <c r="Q67" s="20">
        <f t="shared" si="6"/>
        <v>0.95999229936729935</v>
      </c>
      <c r="R67" s="170"/>
      <c r="S67" s="27"/>
      <c r="T67" s="27"/>
      <c r="U67" s="16"/>
      <c r="V67" s="21"/>
      <c r="W67" s="16"/>
      <c r="X67" s="16"/>
      <c r="Y67" s="30">
        <f>SUM(Y62:Y66)</f>
        <v>0</v>
      </c>
      <c r="Z67" s="30">
        <f>SUM(Z62:Z66)</f>
        <v>0</v>
      </c>
      <c r="AA67" s="166"/>
      <c r="AB67" s="166"/>
      <c r="AC67" s="30">
        <v>5</v>
      </c>
      <c r="AD67" s="30">
        <f>SUM(AD62:AD66)</f>
        <v>0</v>
      </c>
      <c r="AE67" s="18">
        <f t="shared" si="42"/>
        <v>-88.0169413919416</v>
      </c>
      <c r="AF67" s="20">
        <f t="shared" si="9"/>
        <v>0.95999229936729924</v>
      </c>
      <c r="AG67" s="170"/>
    </row>
    <row r="68" spans="1:33" ht="15.75" customHeight="1">
      <c r="A68" s="167" t="s">
        <v>76</v>
      </c>
      <c r="B68" s="4" t="s">
        <v>97</v>
      </c>
      <c r="C68" s="163" t="s">
        <v>128</v>
      </c>
      <c r="D68" s="163"/>
      <c r="E68" s="35">
        <v>20.2</v>
      </c>
      <c r="F68" s="4">
        <v>2389</v>
      </c>
      <c r="G68" s="4">
        <f t="shared" ref="G68:G72" si="44">E68*F68</f>
        <v>48257.799999999996</v>
      </c>
      <c r="H68" s="21" t="s">
        <v>133</v>
      </c>
      <c r="I68" s="15">
        <v>15</v>
      </c>
      <c r="J68" s="17">
        <v>2400</v>
      </c>
      <c r="K68" s="16">
        <f t="shared" si="1"/>
        <v>160</v>
      </c>
      <c r="L68" s="15">
        <v>15</v>
      </c>
      <c r="M68" s="17">
        <f t="shared" ref="M68:M72" si="45">F68/V68*60</f>
        <v>2311.9354838709683</v>
      </c>
      <c r="N68" s="16">
        <f t="shared" si="3"/>
        <v>154.12903225806454</v>
      </c>
      <c r="O68" s="18">
        <f t="shared" si="4"/>
        <v>0</v>
      </c>
      <c r="P68" s="19">
        <f t="shared" si="5"/>
        <v>-5.8709677419354591</v>
      </c>
      <c r="Q68" s="20">
        <f t="shared" si="6"/>
        <v>0.9633064516129034</v>
      </c>
      <c r="R68" s="170">
        <f>Q73</f>
        <v>0.95548651984714139</v>
      </c>
      <c r="S68" s="27">
        <v>8.3333333333333329E-2</v>
      </c>
      <c r="T68" s="27">
        <v>0.12638888888888888</v>
      </c>
      <c r="U68" s="27"/>
      <c r="V68" s="21">
        <f t="shared" ref="V68:V72" si="46">(T68-S68)*24*60</f>
        <v>61.999999999999993</v>
      </c>
      <c r="W68" s="22"/>
      <c r="X68" s="22"/>
      <c r="Y68" s="22"/>
      <c r="Z68" s="22"/>
      <c r="AA68" s="162"/>
      <c r="AB68" s="162"/>
      <c r="AC68" s="24">
        <v>5</v>
      </c>
      <c r="AD68" s="24"/>
      <c r="AE68" s="18">
        <f t="shared" si="42"/>
        <v>-88.064516129031745</v>
      </c>
      <c r="AF68" s="20">
        <f t="shared" si="9"/>
        <v>0.9633064516129034</v>
      </c>
      <c r="AG68" s="170">
        <f>AF73</f>
        <v>0.95548651984714128</v>
      </c>
    </row>
    <row r="69" spans="1:33" ht="15.75" customHeight="1">
      <c r="A69" s="168" t="s">
        <v>403</v>
      </c>
      <c r="B69" s="4" t="s">
        <v>97</v>
      </c>
      <c r="C69" s="163" t="s">
        <v>129</v>
      </c>
      <c r="D69" s="163"/>
      <c r="E69" s="35">
        <v>24.45</v>
      </c>
      <c r="F69" s="4">
        <v>3016</v>
      </c>
      <c r="G69" s="4">
        <f t="shared" si="44"/>
        <v>73741.2</v>
      </c>
      <c r="H69" s="21" t="s">
        <v>133</v>
      </c>
      <c r="I69" s="15">
        <v>19</v>
      </c>
      <c r="J69" s="17">
        <v>2400</v>
      </c>
      <c r="K69" s="16">
        <f t="shared" ref="K69:K73" si="47">J69/I69</f>
        <v>126.31578947368421</v>
      </c>
      <c r="L69" s="15">
        <v>19</v>
      </c>
      <c r="M69" s="17">
        <f t="shared" si="45"/>
        <v>2290.6329113924048</v>
      </c>
      <c r="N69" s="16">
        <f t="shared" ref="N69:N73" si="48">M69/L69</f>
        <v>120.55962691538973</v>
      </c>
      <c r="O69" s="18">
        <f t="shared" ref="O69:O73" si="49">L69-I69</f>
        <v>0</v>
      </c>
      <c r="P69" s="19">
        <f t="shared" ref="P69:P73" si="50">N69-K69</f>
        <v>-5.7561625582944771</v>
      </c>
      <c r="Q69" s="20">
        <f t="shared" ref="Q69:Q73" si="51">N69/K69</f>
        <v>0.95443037974683542</v>
      </c>
      <c r="R69" s="170"/>
      <c r="S69" s="27">
        <v>0.14722222222222223</v>
      </c>
      <c r="T69" s="27">
        <v>0.20208333333333334</v>
      </c>
      <c r="U69" s="4">
        <f t="shared" ref="U69:U72" si="52">(S69-T68)*24*60</f>
        <v>30.000000000000014</v>
      </c>
      <c r="V69" s="21">
        <f t="shared" si="46"/>
        <v>79</v>
      </c>
      <c r="W69" s="22"/>
      <c r="X69" s="22"/>
      <c r="Y69" s="22"/>
      <c r="Z69" s="22"/>
      <c r="AA69" s="162"/>
      <c r="AB69" s="162"/>
      <c r="AC69" s="24"/>
      <c r="AD69" s="24"/>
      <c r="AE69" s="18">
        <f t="shared" si="42"/>
        <v>-109.36708860759518</v>
      </c>
      <c r="AF69" s="20">
        <f t="shared" ref="AF69:AF73" si="53">M69/J69</f>
        <v>0.95443037974683531</v>
      </c>
      <c r="AG69" s="170"/>
    </row>
    <row r="70" spans="1:33" ht="15.75" customHeight="1">
      <c r="A70" s="168" t="s">
        <v>404</v>
      </c>
      <c r="B70" s="4" t="s">
        <v>97</v>
      </c>
      <c r="C70" s="163" t="s">
        <v>130</v>
      </c>
      <c r="D70" s="163"/>
      <c r="E70" s="35">
        <v>24.43</v>
      </c>
      <c r="F70" s="4">
        <v>7247</v>
      </c>
      <c r="G70" s="4">
        <f t="shared" si="44"/>
        <v>177044.21</v>
      </c>
      <c r="H70" s="21" t="s">
        <v>133</v>
      </c>
      <c r="I70" s="15">
        <v>14</v>
      </c>
      <c r="J70" s="17">
        <v>2400</v>
      </c>
      <c r="K70" s="16">
        <f t="shared" si="47"/>
        <v>171.42857142857142</v>
      </c>
      <c r="L70" s="15">
        <v>14</v>
      </c>
      <c r="M70" s="17">
        <f t="shared" si="45"/>
        <v>2288.5263157894733</v>
      </c>
      <c r="N70" s="16">
        <f t="shared" si="48"/>
        <v>163.46616541353382</v>
      </c>
      <c r="O70" s="18">
        <f t="shared" si="49"/>
        <v>0</v>
      </c>
      <c r="P70" s="19">
        <f t="shared" si="50"/>
        <v>-7.962406015037601</v>
      </c>
      <c r="Q70" s="20">
        <f t="shared" si="51"/>
        <v>0.95355263157894732</v>
      </c>
      <c r="R70" s="170"/>
      <c r="S70" s="27">
        <v>0.2076388888888889</v>
      </c>
      <c r="T70" s="27">
        <v>0.33958333333333335</v>
      </c>
      <c r="U70" s="4">
        <f t="shared" si="52"/>
        <v>8.0000000000000107</v>
      </c>
      <c r="V70" s="21">
        <f t="shared" si="46"/>
        <v>190.00000000000003</v>
      </c>
      <c r="W70" s="22"/>
      <c r="X70" s="22"/>
      <c r="Y70" s="22"/>
      <c r="Z70" s="22"/>
      <c r="AA70" s="162"/>
      <c r="AB70" s="162"/>
      <c r="AC70" s="24"/>
      <c r="AD70" s="24"/>
      <c r="AE70" s="18">
        <f t="shared" si="42"/>
        <v>-111.4736842105267</v>
      </c>
      <c r="AF70" s="20">
        <f t="shared" si="53"/>
        <v>0.95355263157894721</v>
      </c>
      <c r="AG70" s="170"/>
    </row>
    <row r="71" spans="1:33" ht="15.75" customHeight="1">
      <c r="A71" s="168" t="s">
        <v>404</v>
      </c>
      <c r="B71" s="4" t="s">
        <v>97</v>
      </c>
      <c r="C71" s="163" t="s">
        <v>132</v>
      </c>
      <c r="D71" s="163"/>
      <c r="E71" s="35">
        <v>19.02</v>
      </c>
      <c r="F71" s="4">
        <v>7000</v>
      </c>
      <c r="G71" s="4">
        <f t="shared" si="44"/>
        <v>133140</v>
      </c>
      <c r="H71" s="21">
        <v>2</v>
      </c>
      <c r="I71" s="15">
        <v>14</v>
      </c>
      <c r="J71" s="17">
        <v>2400</v>
      </c>
      <c r="K71" s="16">
        <f t="shared" si="47"/>
        <v>171.42857142857142</v>
      </c>
      <c r="L71" s="15">
        <v>14</v>
      </c>
      <c r="M71" s="17">
        <f t="shared" si="45"/>
        <v>2282.608695652174</v>
      </c>
      <c r="N71" s="16">
        <f t="shared" si="48"/>
        <v>163.04347826086956</v>
      </c>
      <c r="O71" s="18">
        <f t="shared" si="49"/>
        <v>0</v>
      </c>
      <c r="P71" s="19">
        <f t="shared" si="50"/>
        <v>-8.3850931677018536</v>
      </c>
      <c r="Q71" s="20">
        <f t="shared" si="51"/>
        <v>0.95108695652173914</v>
      </c>
      <c r="R71" s="170"/>
      <c r="S71" s="27">
        <v>0.34305555555555556</v>
      </c>
      <c r="T71" s="27">
        <v>0.47083333333333333</v>
      </c>
      <c r="U71" s="4">
        <f t="shared" si="52"/>
        <v>4.9999999999999822</v>
      </c>
      <c r="V71" s="21">
        <f t="shared" si="46"/>
        <v>184</v>
      </c>
      <c r="W71" s="22">
        <f>T71</f>
        <v>0.47083333333333333</v>
      </c>
      <c r="X71" s="22">
        <f>S72</f>
        <v>0.51249999999999996</v>
      </c>
      <c r="Y71" s="22"/>
      <c r="Z71" s="22"/>
      <c r="AA71" s="162"/>
      <c r="AB71" s="162"/>
      <c r="AC71" s="24"/>
      <c r="AD71" s="24"/>
      <c r="AE71" s="18">
        <f t="shared" si="42"/>
        <v>-117.39130434782601</v>
      </c>
      <c r="AF71" s="20">
        <f t="shared" si="53"/>
        <v>0.95108695652173914</v>
      </c>
      <c r="AG71" s="170"/>
    </row>
    <row r="72" spans="1:33" ht="15.75" customHeight="1">
      <c r="A72" s="168" t="s">
        <v>404</v>
      </c>
      <c r="B72" s="4" t="s">
        <v>97</v>
      </c>
      <c r="C72" s="163" t="s">
        <v>132</v>
      </c>
      <c r="D72" s="163"/>
      <c r="E72" s="35">
        <v>19.02</v>
      </c>
      <c r="F72" s="4">
        <v>3400</v>
      </c>
      <c r="G72" s="4">
        <f t="shared" si="44"/>
        <v>64668</v>
      </c>
      <c r="H72" s="21" t="s">
        <v>133</v>
      </c>
      <c r="I72" s="15">
        <v>14</v>
      </c>
      <c r="J72" s="17">
        <v>2400</v>
      </c>
      <c r="K72" s="16">
        <f t="shared" si="47"/>
        <v>171.42857142857142</v>
      </c>
      <c r="L72" s="15">
        <v>14</v>
      </c>
      <c r="M72" s="17">
        <f t="shared" si="45"/>
        <v>2292.1348314606744</v>
      </c>
      <c r="N72" s="16">
        <f t="shared" si="48"/>
        <v>163.72391653290532</v>
      </c>
      <c r="O72" s="18">
        <f t="shared" si="49"/>
        <v>0</v>
      </c>
      <c r="P72" s="19">
        <f t="shared" si="50"/>
        <v>-7.7046548956660956</v>
      </c>
      <c r="Q72" s="20">
        <f t="shared" si="51"/>
        <v>0.95505617977528112</v>
      </c>
      <c r="R72" s="170"/>
      <c r="S72" s="27">
        <v>0.51249999999999996</v>
      </c>
      <c r="T72" s="27">
        <v>0.57430555555555551</v>
      </c>
      <c r="U72" s="4">
        <f t="shared" si="52"/>
        <v>59.999999999999943</v>
      </c>
      <c r="V72" s="21">
        <f t="shared" si="46"/>
        <v>89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42"/>
        <v>-107.86516853932562</v>
      </c>
      <c r="AF72" s="20">
        <f t="shared" si="53"/>
        <v>0.95505617977528101</v>
      </c>
      <c r="AG72" s="170"/>
    </row>
    <row r="73" spans="1:33" ht="16.5" customHeight="1">
      <c r="A73" s="169" t="s">
        <v>404</v>
      </c>
      <c r="B73" s="35" t="s">
        <v>405</v>
      </c>
      <c r="C73" s="164"/>
      <c r="D73" s="165"/>
      <c r="E73" s="36"/>
      <c r="F73" s="16"/>
      <c r="G73" s="16"/>
      <c r="H73" s="4"/>
      <c r="I73" s="29">
        <v>15.2</v>
      </c>
      <c r="J73" s="17">
        <v>2400</v>
      </c>
      <c r="K73" s="16">
        <f t="shared" si="47"/>
        <v>157.89473684210526</v>
      </c>
      <c r="L73" s="29">
        <v>15.2</v>
      </c>
      <c r="M73" s="17">
        <f>AVERAGE(M68:M72)</f>
        <v>2293.167647633139</v>
      </c>
      <c r="N73" s="16">
        <f t="shared" si="48"/>
        <v>150.86629260744337</v>
      </c>
      <c r="O73" s="18">
        <f t="shared" si="49"/>
        <v>0</v>
      </c>
      <c r="P73" s="19">
        <f t="shared" si="50"/>
        <v>-7.0284442346618903</v>
      </c>
      <c r="Q73" s="20">
        <f t="shared" si="51"/>
        <v>0.95548651984714139</v>
      </c>
      <c r="R73" s="170"/>
      <c r="S73" s="27"/>
      <c r="T73" s="27"/>
      <c r="U73" s="16"/>
      <c r="V73" s="21"/>
      <c r="W73" s="16"/>
      <c r="X73" s="16"/>
      <c r="Y73" s="30">
        <f>SUM(Y68:Y72)</f>
        <v>0</v>
      </c>
      <c r="Z73" s="30">
        <f>SUM(Z68:Z72)</f>
        <v>0</v>
      </c>
      <c r="AA73" s="166"/>
      <c r="AB73" s="166"/>
      <c r="AC73" s="30">
        <v>5</v>
      </c>
      <c r="AD73" s="30">
        <f>SUM(AD68:AD72)</f>
        <v>0</v>
      </c>
      <c r="AE73" s="18">
        <f t="shared" si="42"/>
        <v>-106.83235236686096</v>
      </c>
      <c r="AF73" s="20">
        <f t="shared" si="53"/>
        <v>0.95548651984714128</v>
      </c>
      <c r="AG73" s="170"/>
    </row>
    <row r="74" spans="1:33">
      <c r="D74" s="41"/>
      <c r="E74" s="41"/>
    </row>
  </sheetData>
  <mergeCells count="19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C14:D14"/>
    <mergeCell ref="R14:R19"/>
    <mergeCell ref="AA14:AB14"/>
    <mergeCell ref="AG14:AG19"/>
    <mergeCell ref="C18:D18"/>
    <mergeCell ref="AA18:AB18"/>
    <mergeCell ref="C19:D19"/>
    <mergeCell ref="AA19:AB19"/>
    <mergeCell ref="A14:A19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15:D15"/>
    <mergeCell ref="AA15:AB15"/>
    <mergeCell ref="C16:D16"/>
    <mergeCell ref="AA16:AB16"/>
    <mergeCell ref="C17:D17"/>
    <mergeCell ref="AA17:AB17"/>
    <mergeCell ref="C32:D32"/>
    <mergeCell ref="AA32:AB32"/>
    <mergeCell ref="AA26:AB26"/>
    <mergeCell ref="A27:A35"/>
    <mergeCell ref="C27:D27"/>
    <mergeCell ref="R27:R35"/>
    <mergeCell ref="AA27:AB27"/>
    <mergeCell ref="C28:D28"/>
    <mergeCell ref="AA28:AB28"/>
    <mergeCell ref="C29:D29"/>
    <mergeCell ref="AA29:AB29"/>
    <mergeCell ref="A20:A26"/>
    <mergeCell ref="C20:D20"/>
    <mergeCell ref="R20:R26"/>
    <mergeCell ref="AA20:AB20"/>
    <mergeCell ref="AA25:AB25"/>
    <mergeCell ref="C26:D26"/>
    <mergeCell ref="AG36:AG43"/>
    <mergeCell ref="C37:D37"/>
    <mergeCell ref="AA37:AB37"/>
    <mergeCell ref="C38:D38"/>
    <mergeCell ref="AA38:AB38"/>
    <mergeCell ref="C39:D39"/>
    <mergeCell ref="C33:D33"/>
    <mergeCell ref="AA33:AB33"/>
    <mergeCell ref="C34:D34"/>
    <mergeCell ref="AA34:AB34"/>
    <mergeCell ref="C35:D35"/>
    <mergeCell ref="AA35:AB35"/>
    <mergeCell ref="AG27:AG35"/>
    <mergeCell ref="AA39:AB39"/>
    <mergeCell ref="C40:D40"/>
    <mergeCell ref="AA40:AB40"/>
    <mergeCell ref="C41:D41"/>
    <mergeCell ref="AA41:AB41"/>
    <mergeCell ref="C42:D42"/>
    <mergeCell ref="AA42:AB42"/>
    <mergeCell ref="C30:D30"/>
    <mergeCell ref="AA30:AB30"/>
    <mergeCell ref="C31:D31"/>
    <mergeCell ref="AA31:AB31"/>
    <mergeCell ref="A36:A43"/>
    <mergeCell ref="C36:D36"/>
    <mergeCell ref="R36:R43"/>
    <mergeCell ref="AA36:AB36"/>
    <mergeCell ref="C43:D43"/>
    <mergeCell ref="AA43:AB43"/>
    <mergeCell ref="A44:A51"/>
    <mergeCell ref="C44:D44"/>
    <mergeCell ref="R44:R51"/>
    <mergeCell ref="AA44:AB44"/>
    <mergeCell ref="AA49:AB49"/>
    <mergeCell ref="C50:D50"/>
    <mergeCell ref="AA50:AB50"/>
    <mergeCell ref="C51:D51"/>
    <mergeCell ref="AG44:AG51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A51:AB51"/>
    <mergeCell ref="AG52:AG61"/>
    <mergeCell ref="AA65:AB65"/>
    <mergeCell ref="C66:D66"/>
    <mergeCell ref="AA66:AB66"/>
    <mergeCell ref="AA55:AB55"/>
    <mergeCell ref="AA56:AB56"/>
    <mergeCell ref="C57:D57"/>
    <mergeCell ref="AA57:AB57"/>
    <mergeCell ref="C58:D58"/>
    <mergeCell ref="AA58:AB58"/>
    <mergeCell ref="C62:D62"/>
    <mergeCell ref="R62:R67"/>
    <mergeCell ref="AA62:AB62"/>
    <mergeCell ref="AG62:AG67"/>
    <mergeCell ref="C63:D63"/>
    <mergeCell ref="AA63:AB63"/>
    <mergeCell ref="C64:D64"/>
    <mergeCell ref="AA64:AB64"/>
    <mergeCell ref="A52:A61"/>
    <mergeCell ref="C52:D52"/>
    <mergeCell ref="R52:R61"/>
    <mergeCell ref="AA52:AB52"/>
    <mergeCell ref="C53:D53"/>
    <mergeCell ref="AA53:AB53"/>
    <mergeCell ref="C54:D54"/>
    <mergeCell ref="AA54:AB54"/>
    <mergeCell ref="C59:D59"/>
    <mergeCell ref="AA59:AB59"/>
    <mergeCell ref="C60:D60"/>
    <mergeCell ref="AA60:AB60"/>
    <mergeCell ref="C61:D61"/>
    <mergeCell ref="AA61:AB61"/>
    <mergeCell ref="A68:A73"/>
    <mergeCell ref="C68:D68"/>
    <mergeCell ref="R68:R73"/>
    <mergeCell ref="AA68:AB68"/>
    <mergeCell ref="AA73:AB73"/>
    <mergeCell ref="A62:A67"/>
    <mergeCell ref="AG68:AG73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  <mergeCell ref="C65:D65"/>
    <mergeCell ref="C67:D67"/>
    <mergeCell ref="AA67:AB67"/>
  </mergeCells>
  <phoneticPr fontId="3" type="noConversion"/>
  <conditionalFormatting sqref="O5:O73">
    <cfRule type="cellIs" dxfId="28" priority="1" operator="greaterThan">
      <formula>0</formula>
    </cfRule>
  </conditionalFormatting>
  <conditionalFormatting sqref="P5:P73">
    <cfRule type="cellIs" dxfId="27" priority="4" operator="lessThan">
      <formula>0</formula>
    </cfRule>
  </conditionalFormatting>
  <conditionalFormatting sqref="Q5:Q73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R5:R11 AG5:AG11">
    <cfRule type="cellIs" dxfId="24" priority="63" operator="lessThan">
      <formula>0.8</formula>
    </cfRule>
  </conditionalFormatting>
  <conditionalFormatting sqref="AE5:AE73">
    <cfRule type="cellIs" dxfId="23" priority="17" operator="lessThan">
      <formula>0</formula>
    </cfRule>
  </conditionalFormatting>
  <conditionalFormatting sqref="AF5:AF73">
    <cfRule type="cellIs" dxfId="22" priority="16" operator="lessThan">
      <formula>0.8</formula>
    </cfRule>
    <cfRule type="cellIs" dxfId="21" priority="15" operator="greaterThan">
      <formula>1</formula>
    </cfRule>
  </conditionalFormatting>
  <conditionalFormatting sqref="AG14:AG65 R14:R73">
    <cfRule type="cellIs" dxfId="20" priority="5" operator="lessThan">
      <formula>0.8</formula>
    </cfRule>
  </conditionalFormatting>
  <dataValidations count="1">
    <dataValidation type="list" allowBlank="1" showInputMessage="1" showErrorMessage="1" sqref="AB10 AA5:AB9 AB66 AB12:AB62 AA10:AA66 AA67:AB73" xr:uid="{00000000-0002-0000-3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Q32"/>
  <sheetViews>
    <sheetView zoomScale="85" zoomScaleNormal="85" workbookViewId="0"/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197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198</v>
      </c>
      <c r="C3" s="151" t="str">
        <f>TEXT('0302 4度C'!A2,"yyyy.mm.ddaaaa")</f>
        <v>2026.03.02星期一</v>
      </c>
      <c r="D3" s="152"/>
      <c r="E3" s="45" t="s">
        <v>199</v>
      </c>
      <c r="F3" s="153">
        <f>'0302 4度C'!D1</f>
        <v>162209</v>
      </c>
      <c r="G3" s="154"/>
      <c r="H3" s="45" t="s">
        <v>200</v>
      </c>
      <c r="I3" s="155">
        <f>'0302 4度C'!F1</f>
        <v>5473655.9400000004</v>
      </c>
      <c r="J3" s="156"/>
      <c r="K3" s="46"/>
      <c r="L3" s="47"/>
      <c r="M3" s="47"/>
      <c r="N3" s="47"/>
    </row>
    <row r="4" spans="2:17" ht="28.5" customHeight="1">
      <c r="B4" s="157" t="s">
        <v>201</v>
      </c>
      <c r="C4" s="143" t="s">
        <v>202</v>
      </c>
      <c r="D4" s="144"/>
      <c r="E4" s="160" t="s">
        <v>203</v>
      </c>
      <c r="F4" s="161"/>
      <c r="G4" s="160" t="s">
        <v>204</v>
      </c>
      <c r="H4" s="161"/>
      <c r="I4" s="160" t="s">
        <v>205</v>
      </c>
      <c r="J4" s="161"/>
      <c r="K4" s="141" t="s">
        <v>206</v>
      </c>
      <c r="L4" s="142"/>
      <c r="M4" s="142" t="s">
        <v>207</v>
      </c>
      <c r="N4" s="142"/>
    </row>
    <row r="5" spans="2:17" ht="28.5" customHeight="1">
      <c r="B5" s="158"/>
      <c r="C5" s="143" t="s">
        <v>208</v>
      </c>
      <c r="D5" s="144"/>
      <c r="E5" s="143" t="s">
        <v>209</v>
      </c>
      <c r="F5" s="144"/>
      <c r="G5" s="145" t="s">
        <v>210</v>
      </c>
      <c r="H5" s="146"/>
      <c r="I5" s="147" t="s">
        <v>211</v>
      </c>
      <c r="J5" s="148"/>
      <c r="K5" s="48" t="s">
        <v>212</v>
      </c>
      <c r="L5" s="49" t="s">
        <v>213</v>
      </c>
      <c r="M5" s="48" t="s">
        <v>214</v>
      </c>
      <c r="N5" s="49" t="s">
        <v>215</v>
      </c>
    </row>
    <row r="6" spans="2:17" ht="28.5" customHeight="1">
      <c r="B6" s="158"/>
      <c r="C6" s="143" t="s">
        <v>153</v>
      </c>
      <c r="D6" s="144"/>
      <c r="E6" s="135">
        <f>AVERAGE(D13:M13)</f>
        <v>145.2409486525741</v>
      </c>
      <c r="F6" s="136">
        <f>AVERAGE(D31:O31,D13:J13)</f>
        <v>148.85345821700477</v>
      </c>
      <c r="G6" s="137">
        <f>AVERAGE(D13:J13)</f>
        <v>148.85345821700477</v>
      </c>
      <c r="H6" s="138"/>
      <c r="I6" s="137">
        <f>AVERAGE(K13:M13)</f>
        <v>136.81175966890251</v>
      </c>
      <c r="J6" s="138"/>
      <c r="K6" s="139">
        <f>'0302 4度C'!Y2</f>
        <v>0</v>
      </c>
      <c r="L6" s="124">
        <f>'0302 4度C'!Z2</f>
        <v>0</v>
      </c>
      <c r="M6" s="140">
        <f>'0302 4度C'!AC2</f>
        <v>61</v>
      </c>
      <c r="N6" s="124">
        <f>'0302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139.23210458316851</v>
      </c>
      <c r="F7" s="128">
        <f>AVERAGE(D32:O32,D14:J14)</f>
        <v>142.79819655337911</v>
      </c>
      <c r="G7" s="129">
        <f>AVERAGE(D14:J14)</f>
        <v>142.79819655337911</v>
      </c>
      <c r="H7" s="130"/>
      <c r="I7" s="129">
        <f>AVERAGE(K14:M14)</f>
        <v>130.91122331934375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0.95829843603021703</v>
      </c>
      <c r="F8" s="132">
        <f>AVERAGE(D15:J15,D33:O33)</f>
        <v>0.9588775041158446</v>
      </c>
      <c r="G8" s="133">
        <f>AVERAGE(D15:J15)</f>
        <v>0.9588775041158446</v>
      </c>
      <c r="H8" s="134"/>
      <c r="I8" s="133">
        <f>AVERAGE(K15:M15)</f>
        <v>0.95694727716375272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216</v>
      </c>
      <c r="N9" s="47"/>
      <c r="O9" s="47"/>
      <c r="P9" s="47"/>
      <c r="Q9" s="47"/>
    </row>
    <row r="10" spans="2:17" ht="30" customHeight="1">
      <c r="B10" s="107" t="s">
        <v>217</v>
      </c>
      <c r="C10" s="108"/>
      <c r="D10" s="109" t="s">
        <v>218</v>
      </c>
      <c r="E10" s="110"/>
      <c r="F10" s="110"/>
      <c r="G10" s="110"/>
      <c r="H10" s="110"/>
      <c r="I10" s="110"/>
      <c r="J10" s="111"/>
      <c r="K10" s="112" t="s">
        <v>219</v>
      </c>
      <c r="L10" s="113"/>
      <c r="M10" s="114"/>
      <c r="P10" s="53"/>
      <c r="Q10" s="53"/>
    </row>
    <row r="11" spans="2:17" ht="17.25" customHeight="1">
      <c r="B11" s="115" t="s">
        <v>220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221</v>
      </c>
      <c r="C13" s="60" t="s">
        <v>222</v>
      </c>
      <c r="D13" s="61">
        <f>SUMIFS('0302 4度C'!$K:$K,'0302 4度C'!$A:$A,"新豐6線",'0302 4度C'!$B:$B,"平均")</f>
        <v>112.35955056179775</v>
      </c>
      <c r="E13" s="62">
        <f>SUMIFS('0302 4度C'!$K:$K,'0302 4度C'!$A:$A,"新豐2線",'0302 4度C'!$B:$B,"平均")</f>
        <v>83.333333333333329</v>
      </c>
      <c r="F13" s="63">
        <f>SUMIFS('0302 4度C'!$K:$K,'0302 4度C'!$A:$A,"新豐5線",'0302 4度C'!$B:$B,"平均")</f>
        <v>109.19540229885058</v>
      </c>
      <c r="G13" s="63">
        <f>SUMIFS('0302 4度C'!$K:$K,'0302 4度C'!$A:$A,"新豐7線",'0302 4度C'!$B:$B,"平均")</f>
        <v>122.22222222222221</v>
      </c>
      <c r="H13" s="63">
        <f>SUMIFS('0302 4度C'!$K:$K,'0302 4度C'!$A:$A,"新豐3線",'0302 4度C'!$B:$B,"平均")</f>
        <v>304.3478260869565</v>
      </c>
      <c r="I13" s="63">
        <f>SUMIFS('0302 4度C'!$K:$K,'0302 4度C'!$A:$A,"新豐1線",'0302 4度C'!$B:$B,"平均")</f>
        <v>104.16666666666666</v>
      </c>
      <c r="J13" s="64">
        <f>SUMIFS('0302 4度C'!$K:$K,'0302 4度C'!$A:$A,"新豐10線",'0302 4度C'!$B:$B,"平均")</f>
        <v>206.34920634920633</v>
      </c>
      <c r="K13" s="65">
        <f>SUMIFS('0302 4度C'!$K:$K,'0302 4度C'!$A:$A,"新豐8線",'0302 4度C'!$B:$B,"平均")</f>
        <v>129.23076923076923</v>
      </c>
      <c r="L13" s="66">
        <f>SUMIFS('0302 4度C'!$K:$K,'0302 4度C'!$A:$A,"新豐9線",'0302 4度C'!$B:$B,"平均")</f>
        <v>134.26573426573427</v>
      </c>
      <c r="M13" s="64">
        <f>SUMIFS('0302 4度C'!$K:$K,'0302 4度C'!$A:$A,"新豐4線",'0302 4度C'!$B:$B,"平均")</f>
        <v>146.9387755102041</v>
      </c>
    </row>
    <row r="14" spans="2:17" ht="39.6" customHeight="1">
      <c r="B14" s="120"/>
      <c r="C14" s="67" t="s">
        <v>223</v>
      </c>
      <c r="D14" s="68">
        <f>SUMIFS('0302 4度C'!$N:$N,'0302 4度C'!$A:$A,"新豐6線",'0302 4度C'!$B:$B,"平均")</f>
        <v>109.08714107365803</v>
      </c>
      <c r="E14" s="69">
        <f>SUMIFS('0302 4度C'!$N:$N,'0302 4度C'!$A:$A,"新豐2線",'0302 4度C'!$B:$B,"平均")</f>
        <v>79.486793327154771</v>
      </c>
      <c r="F14" s="69">
        <f>SUMIFS('0302 4度C'!$N:$N,'0302 4度C'!$A:$A,"新豐5線",'0302 4度C'!$B:$B,"平均")</f>
        <v>105.1423422671231</v>
      </c>
      <c r="G14" s="69">
        <f>SUMIFS('0302 4度C'!$N:$N,'0302 4度C'!$A:$A,"新豐7線",'0302 4度C'!$B:$B,"平均")</f>
        <v>117.09951491965099</v>
      </c>
      <c r="H14" s="69">
        <f>SUMIFS('0302 4度C'!$N:$N,'0302 4度C'!$A:$A,"新豐3線",'0302 4度C'!$B:$B,"平均")</f>
        <v>291.76755097666012</v>
      </c>
      <c r="I14" s="69">
        <f>SUMIFS('0302 4度C'!$N:$N,'0302 4度C'!$A:$A,"新豐1線",'0302 4度C'!$B:$B,"平均")</f>
        <v>98.544199023770176</v>
      </c>
      <c r="J14" s="70">
        <f>SUMIFS('0302 4度C'!$N:$N,'0302 4度C'!$A:$A,"新豐10線",'0302 4度C'!$B:$B,"平均")</f>
        <v>198.4598342856367</v>
      </c>
      <c r="K14" s="71">
        <f>SUMIFS('0302 4度C'!$N:$N,'0302 4度C'!$A:$A,"新豐8線",'0302 4度C'!$B:$B,"平均")</f>
        <v>123.8524421284046</v>
      </c>
      <c r="L14" s="72">
        <f>SUMIFS('0302 4度C'!$N:$N,'0302 4度C'!$A:$A,"新豐9線",'0302 4度C'!$B:$B,"平均")</f>
        <v>128.54717317435365</v>
      </c>
      <c r="M14" s="70">
        <f>SUMIFS('0302 4度C'!$N:$N,'0302 4度C'!$A:$A,"新豐4線",'0302 4度C'!$B:$B,"平均")</f>
        <v>140.33405465527292</v>
      </c>
    </row>
    <row r="15" spans="2:17" ht="40.15" customHeight="1">
      <c r="B15" s="121"/>
      <c r="C15" s="73" t="s">
        <v>224</v>
      </c>
      <c r="D15" s="74">
        <f t="shared" ref="D15:M15" si="0">D14/D13</f>
        <v>0.97087555555555649</v>
      </c>
      <c r="E15" s="75">
        <f t="shared" si="0"/>
        <v>0.95384151992585731</v>
      </c>
      <c r="F15" s="75">
        <f t="shared" si="0"/>
        <v>0.96288250286733779</v>
      </c>
      <c r="G15" s="75">
        <f t="shared" si="0"/>
        <v>0.95808694025168994</v>
      </c>
      <c r="H15" s="75">
        <f t="shared" si="0"/>
        <v>0.95866481035188333</v>
      </c>
      <c r="I15" s="75">
        <f t="shared" si="0"/>
        <v>0.94602431062819381</v>
      </c>
      <c r="J15" s="76">
        <f t="shared" si="0"/>
        <v>0.96176688923039333</v>
      </c>
      <c r="K15" s="74">
        <f t="shared" si="0"/>
        <v>0.9583819926602738</v>
      </c>
      <c r="L15" s="75">
        <f t="shared" si="0"/>
        <v>0.95740863353815475</v>
      </c>
      <c r="M15" s="76">
        <f t="shared" si="0"/>
        <v>0.9550512052928295</v>
      </c>
    </row>
    <row r="16" spans="2:17" ht="17.25" customHeight="1">
      <c r="B16" s="122" t="s">
        <v>225</v>
      </c>
      <c r="C16" s="77" t="s">
        <v>226</v>
      </c>
      <c r="D16" s="78">
        <f>VLOOKUP("新豐6線",'0302 4度C'!$A:$T,19,0)</f>
        <v>0.70833333333333337</v>
      </c>
      <c r="E16" s="79">
        <f>VLOOKUP("新豐2線",'0302 4度C'!$A:$T,19,0)</f>
        <v>0.20833333333333334</v>
      </c>
      <c r="F16" s="79">
        <f>VLOOKUP("新豐5線",'0302 4度C'!$A:$T,19,0)</f>
        <v>0.20833333333333334</v>
      </c>
      <c r="G16" s="79">
        <f>VLOOKUP("新豐7線",'0302 4度C'!$A:$T,19,0)</f>
        <v>0.20833333333333334</v>
      </c>
      <c r="H16" s="79">
        <f>VLOOKUP("新豐3線",'0302 4度C'!$A:$T,19,0)</f>
        <v>0.20833333333333334</v>
      </c>
      <c r="I16" s="79">
        <f>VLOOKUP("新豐1線",'0302 4度C'!$A:$T,19,0)</f>
        <v>0.20833333333333334</v>
      </c>
      <c r="J16" s="80">
        <f>VLOOKUP("新豐10線",'0302 4度C'!$A:$T,19,0)</f>
        <v>0.20833333333333334</v>
      </c>
      <c r="K16" s="81">
        <f>VLOOKUP("新豐8線",'0302 4度C'!$A:$T,19,0)</f>
        <v>0.125</v>
      </c>
      <c r="L16" s="82">
        <f>VLOOKUP("新豐9線",'0302 4度C'!$A:$T,19,0)</f>
        <v>0.125</v>
      </c>
      <c r="M16" s="83">
        <f>VLOOKUP("新豐4線",'0302 4度C'!$A:$T,19,0)</f>
        <v>0.125</v>
      </c>
    </row>
    <row r="17" spans="2:13" ht="17.25" customHeight="1">
      <c r="B17" s="123"/>
      <c r="C17" s="77" t="s">
        <v>227</v>
      </c>
      <c r="D17" s="81">
        <f>LOOKUP(2,1/(('0302 4度C'!$A:$A="新豐6線")*('0302 4度C'!$T:$T&lt;&gt;"")),'0302 4度C'!$T:$T)</f>
        <v>0.8340277777777777</v>
      </c>
      <c r="E17" s="79">
        <f>LOOKUP(2,1/(('0302 4度C'!$A:$A="新豐2線")*('0302 4度C'!$T:$T&lt;&gt;"")),'0302 4度C'!$T:$T)</f>
        <v>0.49444444444444446</v>
      </c>
      <c r="F17" s="79">
        <f>LOOKUP(2,1/(('0302 4度C'!$A:$A="新豐5線")*('0302 4度C'!$T:$T&lt;&gt;"")),'0302 4度C'!$T:$T)</f>
        <v>0.91666666666666663</v>
      </c>
      <c r="G17" s="79">
        <f>LOOKUP(2,1/(('0302 4度C'!$A:$A="新豐7線")*('0302 4度C'!$T:$T&lt;&gt;"")),'0302 4度C'!$T:$T)</f>
        <v>0.91388888888888886</v>
      </c>
      <c r="H17" s="79">
        <f>LOOKUP(2,1/(('0302 4度C'!$A:$A="新豐3線")*('0302 4度C'!$T:$T&lt;&gt;"")),'0302 4度C'!$T:$T)</f>
        <v>0.6055555555555554</v>
      </c>
      <c r="I17" s="79">
        <f>LOOKUP(2,1/(('0302 4度C'!$A:$A="新豐1線")*('0302 4度C'!$T:$T&lt;&gt;"")),'0302 4度C'!$T:$T)</f>
        <v>0.91527777777777775</v>
      </c>
      <c r="J17" s="80">
        <f>LOOKUP(2,1/(('0302 4度C'!$A:$A="新豐10線")*('0302 4度C'!$T:$T&lt;&gt;"")),'0302 4度C'!$T:$T)</f>
        <v>0.5215277777777777</v>
      </c>
      <c r="K17" s="78">
        <f>LOOKUP(2,1/(('0302 4度C'!$A:$A="新豐8線")*('0302 4度C'!$T:$T&lt;&gt;"")),'0302 4度C'!$T:$T)</f>
        <v>0.66319444444444431</v>
      </c>
      <c r="L17" s="79">
        <f>LOOKUP(2,1/(('0302 4度C'!$A:$A="新豐9線")*('0302 4度C'!$T:$T&lt;&gt;"")),'0302 4度C'!$T:$T)</f>
        <v>0.66527777777777775</v>
      </c>
      <c r="M17" s="80">
        <f>LOOKUP(2,1/(('0302 4度C'!$A:$A="新豐4線")*('0302 4度C'!$T:$T&lt;&gt;"")),'0302 4度C'!$T:$T)</f>
        <v>0.62152777777777768</v>
      </c>
    </row>
    <row r="18" spans="2:13" ht="17.25" customHeight="1">
      <c r="B18" s="101" t="s">
        <v>228</v>
      </c>
      <c r="C18" s="84" t="s">
        <v>41</v>
      </c>
      <c r="D18" s="85">
        <f>SUMIFS('0302 4度C'!$Y:$Y,'0302 4度C'!$A:$A,"新豐6線",'0302 4度C'!$B:$B,"平均")</f>
        <v>0</v>
      </c>
      <c r="E18" s="86">
        <f>SUMIFS('0302 4度C'!$Y:$Y,'0302 4度C'!$A:$A,"新豐2線",'0302 4度C'!$B:$B,"平均")</f>
        <v>0</v>
      </c>
      <c r="F18" s="86">
        <f>SUMIFS('0302 4度C'!$Y:$Y,'0302 4度C'!$A:$A,"新豐5線",'0302 4度C'!$B:$B,"平均")</f>
        <v>0</v>
      </c>
      <c r="G18" s="86">
        <f>SUMIFS('0302 4度C'!$Y:$Y,'0302 4度C'!$A:$A,"新豐7線",'0302 4度C'!$B:$B,"平均")</f>
        <v>0</v>
      </c>
      <c r="H18" s="86">
        <f>SUMIFS('0302 4度C'!$Y:$Y,'0302 4度C'!$A:$A,"新豐3線",'0302 4度C'!$B:$B,"平均")</f>
        <v>0</v>
      </c>
      <c r="I18" s="86">
        <f>SUMIFS('0302 4度C'!$Y:$Y,'0302 4度C'!$A:$A,"新豐1線",'0302 4度C'!$B:$B,"平均")</f>
        <v>0</v>
      </c>
      <c r="J18" s="87">
        <f>SUMIFS('0302 4度C'!$Y:$Y,'0302 4度C'!$A:$A,"新豐10線",'0302 4度C'!$B:$B,"平均")</f>
        <v>0</v>
      </c>
      <c r="K18" s="88">
        <f>SUMIFS('0302 4度C'!$Y:$Y,'0302 4度C'!$A:$A,"新豐8線",'0302 4度C'!$B:$B,"平均")</f>
        <v>0</v>
      </c>
      <c r="L18" s="86">
        <f>SUMIFS('0302 4度C'!$Y:$Y,'0302 4度C'!$A:$A,"新豐9線",'0302 4度C'!$B:$B,"平均")</f>
        <v>0</v>
      </c>
      <c r="M18" s="87">
        <f>SUMIFS('0302 4度C'!$Y:$Y,'0302 4度C'!$A:$A,"新豐4線",'0302 4度C'!$B:$B,"平均")</f>
        <v>0</v>
      </c>
    </row>
    <row r="19" spans="2:13" ht="17.25" customHeight="1">
      <c r="B19" s="102"/>
      <c r="C19" s="84" t="s">
        <v>42</v>
      </c>
      <c r="D19" s="85">
        <f>SUMIFS('0302 4度C'!$Z:$Z,'0302 4度C'!$A:$A,"新豐6線",'0302 4度C'!$B:$B,"平均")</f>
        <v>0</v>
      </c>
      <c r="E19" s="86">
        <f>SUMIFS('0302 4度C'!$Z:$Z,'0302 4度C'!$A:$A,"新豐2線",'0302 4度C'!$B:$B,"平均")</f>
        <v>0</v>
      </c>
      <c r="F19" s="86">
        <f>SUMIFS('0302 4度C'!$Z:$Z,'0302 4度C'!$A:$A,"新豐5線",'0302 4度C'!$B:$B,"平均")</f>
        <v>0</v>
      </c>
      <c r="G19" s="86">
        <f>SUMIFS('0302 4度C'!$Z:$Z,'0302 4度C'!$A:$A,"新豐7線",'0302 4度C'!$B:$B,"平均")</f>
        <v>0</v>
      </c>
      <c r="H19" s="86">
        <f>SUMIFS('0302 4度C'!$Z:$Z,'0302 4度C'!$A:$A,"新豐3線",'0302 4度C'!$B:$B,"平均")</f>
        <v>0</v>
      </c>
      <c r="I19" s="86">
        <f>SUMIFS('0302 4度C'!$Z:$Z,'0302 4度C'!$A:$A,"新豐1線",'0302 4度C'!$B:$B,"平均")</f>
        <v>0</v>
      </c>
      <c r="J19" s="87">
        <f>SUMIFS('0302 4度C'!$Z:$Z,'0302 4度C'!$A:$A,"新豐10線",'0302 4度C'!$B:$B,"平均")</f>
        <v>0</v>
      </c>
      <c r="K19" s="88">
        <f>SUMIFS('0302 4度C'!$Z:$Z,'0302 4度C'!$A:$A,"新豐8線",'0302 4度C'!$B:$B,"平均")</f>
        <v>0</v>
      </c>
      <c r="L19" s="86">
        <f>SUMIFS('0302 4度C'!$Z:$Z,'0302 4度C'!$A:$A,"新豐9線",'0302 4度C'!$B:$B,"平均")</f>
        <v>0</v>
      </c>
      <c r="M19" s="87">
        <f>SUMIFS('0302 4度C'!$Z:$Z,'0302 4度C'!$A:$A,"新豐4線",'0302 4度C'!$B:$B,"平均")</f>
        <v>0</v>
      </c>
    </row>
    <row r="20" spans="2:13" ht="17.25" customHeight="1">
      <c r="B20" s="101" t="s">
        <v>229</v>
      </c>
      <c r="C20" s="84" t="s">
        <v>230</v>
      </c>
      <c r="D20" s="85">
        <f>SUMIFS('0302 4度C'!$AC:$AC,'0302 4度C'!$A:$A,"新豐6線",'0302 4度C'!$B:$B,"平均")</f>
        <v>5</v>
      </c>
      <c r="E20" s="86">
        <f>SUMIFS('0302 4度C'!$AC:$AC,'0302 4度C'!$A:$A,"新豐2線",'0302 4度C'!$B:$B,"平均")</f>
        <v>2</v>
      </c>
      <c r="F20" s="86">
        <f>SUMIFS('0302 4度C'!$AC:$AC,'0302 4度C'!$A:$A,"新豐5線",'0302 4度C'!$B:$B,"平均")</f>
        <v>5</v>
      </c>
      <c r="G20" s="86">
        <f>SUMIFS('0302 4度C'!$AC:$AC,'0302 4度C'!$A:$A,"新豐7線",'0302 4度C'!$B:$B,"平均")</f>
        <v>6</v>
      </c>
      <c r="H20" s="86">
        <f>SUMIFS('0302 4度C'!$AC:$AC,'0302 4度C'!$A:$A,"新豐3線",'0302 4度C'!$B:$B,"平均")</f>
        <v>7</v>
      </c>
      <c r="I20" s="86">
        <f>SUMIFS('0302 4度C'!$AC:$AC,'0302 4度C'!$A:$A,"新豐1線",'0302 4度C'!$B:$B,"平均")</f>
        <v>9</v>
      </c>
      <c r="J20" s="87">
        <f>SUMIFS('0302 4度C'!$AC:$AC,'0302 4度C'!$A:$A,"新豐10線",'0302 4度C'!$B:$B,"平均")</f>
        <v>6</v>
      </c>
      <c r="K20" s="88">
        <f>SUMIFS('0302 4度C'!$AC:$AC,'0302 4度C'!$A:$A,"新豐8線",'0302 4度C'!$B:$B,"平均")</f>
        <v>7</v>
      </c>
      <c r="L20" s="86">
        <f>SUMIFS('0302 4度C'!$AC:$AC,'0302 4度C'!$A:$A,"新豐9線",'0302 4度C'!$B:$B,"平均")</f>
        <v>8</v>
      </c>
      <c r="M20" s="87">
        <f>SUMIFS('0302 4度C'!$AC:$AC,'0302 4度C'!$A:$A,"新豐4線",'0302 4度C'!$B:$B,"平均")</f>
        <v>6</v>
      </c>
    </row>
    <row r="21" spans="2:13" ht="17.25" customHeight="1">
      <c r="B21" s="102"/>
      <c r="C21" s="84" t="s">
        <v>231</v>
      </c>
      <c r="D21" s="85">
        <f>SUMIFS('0302 4度C'!$AD:$AD,'0302 4度C'!$A:$A,"新豐6線",'0302 4度C'!$B:$B,"平均")</f>
        <v>0</v>
      </c>
      <c r="E21" s="86">
        <f>SUMIFS('0302 4度C'!$AD:$AD,'0302 4度C'!$A:$A,"新豐2線",'0302 4度C'!$B:$B,"平均")</f>
        <v>0</v>
      </c>
      <c r="F21" s="86">
        <f>SUMIFS('0302 4度C'!$AD:$AD,'0302 4度C'!$A:$A,"新豐5線",'0302 4度C'!$B:$B,"平均")</f>
        <v>0</v>
      </c>
      <c r="G21" s="86">
        <f>SUMIFS('0302 4度C'!$AD:$AD,'0302 4度C'!$A:$A,"新豐7線",'0302 4度C'!$B:$B,"平均")</f>
        <v>0</v>
      </c>
      <c r="H21" s="86">
        <f>SUMIFS('0302 4度C'!$AD:$AD,'0302 4度C'!$A:$A,"新豐3線",'0302 4度C'!$B:$B,"平均")</f>
        <v>0</v>
      </c>
      <c r="I21" s="86">
        <f>SUMIFS('0302 4度C'!$AD:$AD,'0302 4度C'!$A:$A,"新豐1線",'0302 4度C'!$B:$B,"平均")</f>
        <v>0</v>
      </c>
      <c r="J21" s="87">
        <f>SUMIFS('0302 4度C'!$AD:$AD,'0302 4度C'!$A:$A,"新豐10線",'0302 4度C'!$B:$B,"平均")</f>
        <v>0</v>
      </c>
      <c r="K21" s="88">
        <f>SUMIFS('0302 4度C'!$AD:$AD,'0302 4度C'!$A:$A,"新豐8線",'0302 4度C'!$B:$B,"平均")</f>
        <v>0</v>
      </c>
      <c r="L21" s="86">
        <f>SUMIFS('0302 4度C'!$AD:$AD,'0302 4度C'!$A:$A,"新豐9線",'0302 4度C'!$B:$B,"平均")</f>
        <v>0</v>
      </c>
      <c r="M21" s="87">
        <f>SUMIFS('0302 4度C'!$AD:$AD,'0302 4度C'!$A:$A,"新豐4線",'0302 4度C'!$B:$B,"平均")</f>
        <v>0</v>
      </c>
    </row>
    <row r="22" spans="2:13" ht="17.25" customHeight="1">
      <c r="B22" s="103" t="s">
        <v>232</v>
      </c>
      <c r="C22" s="104"/>
      <c r="D22" s="89">
        <f>SUMIFS('0302 4度C'!$I:$I,'0302 4度C'!$A:$A,"新豐6線",'0302 4度C'!$B:$B,"平均")</f>
        <v>17.8</v>
      </c>
      <c r="E22" s="90">
        <f>SUMIFS('0302 4度C'!$I:$I,'0302 4度C'!$A:$A,"新豐2線",'0302 4度C'!$B:$B,"平均")</f>
        <v>18</v>
      </c>
      <c r="F22" s="90">
        <f>SUMIFS('0302 4度C'!$I:$I,'0302 4度C'!$A:$A,"新豐5線",'0302 4度C'!$B:$B,"平均")</f>
        <v>17.399999999999999</v>
      </c>
      <c r="G22" s="90">
        <f>SUMIFS('0302 4度C'!$I:$I,'0302 4度C'!$A:$A,"新豐7線",'0302 4度C'!$B:$B,"平均")</f>
        <v>15</v>
      </c>
      <c r="H22" s="90">
        <f>SUMIFS('0302 4度C'!$I:$I,'0302 4度C'!$A:$A,"新豐3線",'0302 4度C'!$B:$B,"平均")</f>
        <v>9.8571428571428577</v>
      </c>
      <c r="I22" s="90">
        <f>SUMIFS('0302 4度C'!$I:$I,'0302 4度C'!$A:$A,"新豐1線",'0302 4度C'!$B:$B,"平均")</f>
        <v>18.666666666666668</v>
      </c>
      <c r="J22" s="91">
        <f>SUMIFS('0302 4度C'!$I:$I,'0302 4度C'!$A:$A,"新豐10線",'0302 4度C'!$B:$B,"平均")</f>
        <v>10.5</v>
      </c>
      <c r="K22" s="89">
        <f>SUMIFS('0302 4度C'!$I:$I,'0302 4度C'!$A:$A,"新豐8線",'0302 4度C'!$B:$B,"平均")</f>
        <v>18.571428571428573</v>
      </c>
      <c r="L22" s="90">
        <f>SUMIFS('0302 4度C'!$I:$I,'0302 4度C'!$A:$A,"新豐9線",'0302 4度C'!$B:$B,"平均")</f>
        <v>17.875</v>
      </c>
      <c r="M22" s="91">
        <f>SUMIFS('0302 4度C'!$I:$I,'0302 4度C'!$A:$A,"新豐4線",'0302 4度C'!$B:$B,"平均")</f>
        <v>16.333333333333332</v>
      </c>
    </row>
    <row r="23" spans="2:13" ht="17.25" customHeight="1">
      <c r="B23" s="103" t="s">
        <v>233</v>
      </c>
      <c r="C23" s="104"/>
      <c r="D23" s="92" t="s">
        <v>185</v>
      </c>
      <c r="E23" s="93" t="s">
        <v>186</v>
      </c>
      <c r="F23" s="93" t="s">
        <v>234</v>
      </c>
      <c r="G23" s="93" t="s">
        <v>234</v>
      </c>
      <c r="H23" s="93" t="s">
        <v>188</v>
      </c>
      <c r="I23" s="93" t="s">
        <v>185</v>
      </c>
      <c r="J23" s="94" t="s">
        <v>188</v>
      </c>
      <c r="K23" s="92" t="s">
        <v>235</v>
      </c>
      <c r="L23" s="93" t="s">
        <v>235</v>
      </c>
      <c r="M23" s="94" t="s">
        <v>236</v>
      </c>
    </row>
    <row r="24" spans="2:13" ht="17.25" customHeight="1">
      <c r="B24" s="103" t="s">
        <v>237</v>
      </c>
      <c r="C24" s="104"/>
      <c r="D24" s="92"/>
      <c r="E24" s="93"/>
      <c r="F24" s="93" t="s">
        <v>238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239</v>
      </c>
      <c r="C25" s="106"/>
      <c r="D25" s="95"/>
      <c r="E25" s="96" t="s">
        <v>240</v>
      </c>
      <c r="F25" s="99" t="s">
        <v>241</v>
      </c>
      <c r="G25" s="100"/>
      <c r="H25" s="96" t="s">
        <v>242</v>
      </c>
      <c r="I25" s="96" t="s">
        <v>243</v>
      </c>
      <c r="J25" s="97" t="s">
        <v>244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J13" sqref="J13"/>
      <selection pane="bottomLeft" activeCell="AC11" sqref="AC11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245</v>
      </c>
      <c r="B1" s="1"/>
      <c r="C1" s="2" t="s">
        <v>246</v>
      </c>
      <c r="D1" s="3">
        <f>SUM(F5:F75)</f>
        <v>162209</v>
      </c>
      <c r="E1" s="4" t="s">
        <v>247</v>
      </c>
      <c r="F1" s="1">
        <f>SUM(G5:G75)</f>
        <v>5473655.9400000004</v>
      </c>
      <c r="G1" s="1" t="s">
        <v>248</v>
      </c>
      <c r="H1" s="5">
        <f>L10+L13+L51+L61+L19+L68+L34+L43+L26+L75</f>
        <v>160.00357142857146</v>
      </c>
      <c r="I1" s="212" t="s">
        <v>249</v>
      </c>
      <c r="J1" s="212"/>
      <c r="K1" s="212"/>
      <c r="L1" s="212" t="s">
        <v>250</v>
      </c>
      <c r="M1" s="212"/>
      <c r="N1" s="212"/>
      <c r="O1" s="212" t="s">
        <v>251</v>
      </c>
      <c r="P1" s="212"/>
      <c r="Q1" s="212"/>
      <c r="R1" s="212"/>
      <c r="S1" s="212" t="s">
        <v>252</v>
      </c>
      <c r="T1" s="212"/>
      <c r="U1" s="212"/>
      <c r="V1" s="212"/>
      <c r="W1" s="212"/>
      <c r="X1" s="212"/>
      <c r="Y1" s="6" t="s">
        <v>253</v>
      </c>
      <c r="Z1" s="7" t="s">
        <v>254</v>
      </c>
      <c r="AA1" s="213" t="s">
        <v>255</v>
      </c>
      <c r="AB1" s="213"/>
      <c r="AC1" s="42" t="s">
        <v>253</v>
      </c>
      <c r="AD1" s="7" t="s">
        <v>256</v>
      </c>
      <c r="AE1" s="212" t="s">
        <v>257</v>
      </c>
      <c r="AF1" s="214"/>
      <c r="AG1" s="214"/>
    </row>
    <row r="2" spans="1:33" ht="26.25" customHeight="1">
      <c r="A2" s="33">
        <v>46083</v>
      </c>
      <c r="B2" s="34" t="s">
        <v>258</v>
      </c>
      <c r="C2" s="2" t="s">
        <v>221</v>
      </c>
      <c r="D2" s="9">
        <f>AVERAGE(N10,N13,N51,N61,N19,N68,N26,N34,N43,N75)</f>
        <v>139.23210458316851</v>
      </c>
      <c r="E2" s="10" t="s">
        <v>14</v>
      </c>
      <c r="F2" s="11">
        <f>F1/D1</f>
        <v>33.744465103662563</v>
      </c>
      <c r="G2" s="1" t="s">
        <v>259</v>
      </c>
      <c r="H2" s="12">
        <f>COUNT(H5:H75)</f>
        <v>11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SUM(Y10+Y13+Y19+Y26+Y34+Y43+Y51+Y61+Y68+Y75)</f>
        <v>0</v>
      </c>
      <c r="Z2" s="13">
        <f>SUM(Z10+Z13+Z19+Z26+Z34+Z43+Z51+Z61+Z68+Z75)</f>
        <v>0</v>
      </c>
      <c r="AA2" s="213"/>
      <c r="AB2" s="213"/>
      <c r="AC2" s="13">
        <f>SUM(AC10+AC13+AC19+AC26+AC34+AC43+AC51+AC61+AC68+AC75)</f>
        <v>61</v>
      </c>
      <c r="AD2" s="13">
        <f>SUM(AD10+AD13+AD19+AD26+AD34+AD43+AD51+AD61+AD68+AD75)</f>
        <v>0</v>
      </c>
      <c r="AE2" s="214"/>
      <c r="AF2" s="214"/>
      <c r="AG2" s="214"/>
    </row>
    <row r="3" spans="1:33" ht="40.5" customHeight="1">
      <c r="A3" s="162" t="s">
        <v>260</v>
      </c>
      <c r="B3" s="162" t="s">
        <v>261</v>
      </c>
      <c r="C3" s="162" t="s">
        <v>262</v>
      </c>
      <c r="D3" s="162"/>
      <c r="E3" s="210" t="s">
        <v>263</v>
      </c>
      <c r="F3" s="162" t="s">
        <v>264</v>
      </c>
      <c r="G3" s="210" t="s">
        <v>265</v>
      </c>
      <c r="H3" s="204" t="s">
        <v>266</v>
      </c>
      <c r="I3" s="202" t="s">
        <v>267</v>
      </c>
      <c r="J3" s="199" t="s">
        <v>268</v>
      </c>
      <c r="K3" s="209" t="s">
        <v>221</v>
      </c>
      <c r="L3" s="202" t="s">
        <v>267</v>
      </c>
      <c r="M3" s="199" t="s">
        <v>268</v>
      </c>
      <c r="N3" s="209" t="s">
        <v>221</v>
      </c>
      <c r="O3" s="202" t="s">
        <v>267</v>
      </c>
      <c r="P3" s="209" t="s">
        <v>221</v>
      </c>
      <c r="Q3" s="200" t="s">
        <v>269</v>
      </c>
      <c r="R3" s="178" t="s">
        <v>270</v>
      </c>
      <c r="S3" s="162" t="s">
        <v>27</v>
      </c>
      <c r="T3" s="162"/>
      <c r="U3" s="204" t="s">
        <v>28</v>
      </c>
      <c r="V3" s="204" t="s">
        <v>271</v>
      </c>
      <c r="W3" s="162" t="s">
        <v>272</v>
      </c>
      <c r="X3" s="162"/>
      <c r="Y3" s="205" t="s">
        <v>273</v>
      </c>
      <c r="Z3" s="166"/>
      <c r="AA3" s="206" t="s">
        <v>274</v>
      </c>
      <c r="AB3" s="207"/>
      <c r="AC3" s="205" t="s">
        <v>275</v>
      </c>
      <c r="AD3" s="166"/>
      <c r="AE3" s="199" t="s">
        <v>268</v>
      </c>
      <c r="AF3" s="200" t="s">
        <v>269</v>
      </c>
      <c r="AG3" s="178" t="s">
        <v>270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276</v>
      </c>
      <c r="X4" s="4" t="s">
        <v>277</v>
      </c>
      <c r="Y4" s="14" t="s">
        <v>230</v>
      </c>
      <c r="Z4" s="14" t="s">
        <v>278</v>
      </c>
      <c r="AA4" s="208"/>
      <c r="AB4" s="207"/>
      <c r="AC4" s="14" t="s">
        <v>279</v>
      </c>
      <c r="AD4" s="14" t="s">
        <v>280</v>
      </c>
      <c r="AE4" s="199"/>
      <c r="AF4" s="200"/>
      <c r="AG4" s="178"/>
    </row>
    <row r="5" spans="1:33">
      <c r="A5" s="201" t="s">
        <v>281</v>
      </c>
      <c r="B5" s="35" t="s">
        <v>78</v>
      </c>
      <c r="C5" s="203" t="s">
        <v>79</v>
      </c>
      <c r="D5" s="203"/>
      <c r="E5" s="35">
        <v>50.67</v>
      </c>
      <c r="F5" s="4">
        <v>1611</v>
      </c>
      <c r="G5" s="4">
        <f t="shared" ref="G5:G9" si="0">E5*F5</f>
        <v>81629.37000000001</v>
      </c>
      <c r="H5" s="21" t="s">
        <v>133</v>
      </c>
      <c r="I5" s="15">
        <v>17</v>
      </c>
      <c r="J5" s="17">
        <v>2000</v>
      </c>
      <c r="K5" s="16">
        <f t="shared" ref="K5:K68" si="1">J5/I5</f>
        <v>117.64705882352941</v>
      </c>
      <c r="L5" s="15">
        <v>17</v>
      </c>
      <c r="M5" s="17">
        <f t="shared" ref="M5:M9" si="2">F5/V5*60</f>
        <v>1933.2000000000003</v>
      </c>
      <c r="N5" s="16">
        <f t="shared" ref="N5:N68" si="3">M5/L5</f>
        <v>113.71764705882354</v>
      </c>
      <c r="O5" s="18">
        <f t="shared" ref="O5:O68" si="4">L5-I5</f>
        <v>0</v>
      </c>
      <c r="P5" s="19">
        <f t="shared" ref="P5:P68" si="5">N5-K5</f>
        <v>-3.9294117647058613</v>
      </c>
      <c r="Q5" s="20">
        <f t="shared" ref="Q5:Q68" si="6">N5/K5</f>
        <v>0.96660000000000013</v>
      </c>
      <c r="R5" s="170">
        <f>Q10</f>
        <v>0.97087555555555649</v>
      </c>
      <c r="S5" s="27">
        <v>0.70833333333333337</v>
      </c>
      <c r="T5" s="27">
        <v>0.74305555555555558</v>
      </c>
      <c r="U5" s="4"/>
      <c r="V5" s="21">
        <f t="shared" ref="V5:V9" si="7">(T5-S5)*24*60</f>
        <v>49.999999999999986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60" si="8">M5-J5</f>
        <v>-66.799999999999727</v>
      </c>
      <c r="AF5" s="20">
        <f t="shared" ref="AF5:AF68" si="9">M5/J5</f>
        <v>0.96660000000000013</v>
      </c>
      <c r="AG5" s="170">
        <f>AF10</f>
        <v>0.97087555555555649</v>
      </c>
    </row>
    <row r="6" spans="1:33">
      <c r="A6" s="202" t="s">
        <v>281</v>
      </c>
      <c r="B6" s="35" t="s">
        <v>78</v>
      </c>
      <c r="C6" s="203" t="s">
        <v>80</v>
      </c>
      <c r="D6" s="203"/>
      <c r="E6" s="35">
        <v>54.09</v>
      </c>
      <c r="F6" s="4">
        <v>1358</v>
      </c>
      <c r="G6" s="4">
        <f t="shared" si="0"/>
        <v>73454.22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1939.9999999999993</v>
      </c>
      <c r="N6" s="16">
        <f t="shared" si="3"/>
        <v>102.1052631578947</v>
      </c>
      <c r="O6" s="18">
        <f t="shared" si="4"/>
        <v>0</v>
      </c>
      <c r="P6" s="19">
        <f t="shared" si="5"/>
        <v>-3.1578947368421382</v>
      </c>
      <c r="Q6" s="20">
        <f t="shared" si="6"/>
        <v>0.96999999999999964</v>
      </c>
      <c r="R6" s="170"/>
      <c r="S6" s="27">
        <v>0.74722222222222223</v>
      </c>
      <c r="T6" s="27">
        <v>0.77638888888888891</v>
      </c>
      <c r="U6" s="4">
        <f t="shared" ref="U6:U9" si="10">IF(S6=TIME(17,0,0),"",(S6-T5)*24*60)</f>
        <v>5.9999999999999787</v>
      </c>
      <c r="V6" s="21">
        <f t="shared" si="7"/>
        <v>42.000000000000014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-60.000000000000682</v>
      </c>
      <c r="AF6" s="20">
        <f t="shared" si="9"/>
        <v>0.96999999999999964</v>
      </c>
      <c r="AG6" s="170"/>
    </row>
    <row r="7" spans="1:33">
      <c r="A7" s="202" t="s">
        <v>281</v>
      </c>
      <c r="B7" s="35" t="s">
        <v>78</v>
      </c>
      <c r="C7" s="197" t="s">
        <v>81</v>
      </c>
      <c r="D7" s="198"/>
      <c r="E7" s="35">
        <v>50.29</v>
      </c>
      <c r="F7" s="4">
        <v>598</v>
      </c>
      <c r="G7" s="4">
        <f t="shared" si="0"/>
        <v>30073.42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1993.3333333333405</v>
      </c>
      <c r="N7" s="16">
        <f t="shared" si="3"/>
        <v>124.58333333333378</v>
      </c>
      <c r="O7" s="18">
        <f t="shared" si="4"/>
        <v>0</v>
      </c>
      <c r="P7" s="19">
        <f t="shared" si="5"/>
        <v>-0.41666666666621666</v>
      </c>
      <c r="Q7" s="20">
        <f t="shared" si="6"/>
        <v>0.99666666666667025</v>
      </c>
      <c r="R7" s="170"/>
      <c r="S7" s="27">
        <v>0.77986111111111112</v>
      </c>
      <c r="T7" s="27">
        <v>0.79236111111111107</v>
      </c>
      <c r="U7" s="4">
        <f t="shared" si="10"/>
        <v>4.9999999999999822</v>
      </c>
      <c r="V7" s="21">
        <f t="shared" si="7"/>
        <v>17.999999999999936</v>
      </c>
      <c r="W7" s="22"/>
      <c r="X7" s="22"/>
      <c r="Y7" s="25"/>
      <c r="Z7" s="25"/>
      <c r="AA7" s="176"/>
      <c r="AB7" s="177"/>
      <c r="AC7" s="26"/>
      <c r="AD7" s="26"/>
      <c r="AE7" s="18">
        <f t="shared" si="8"/>
        <v>-6.6666666666594665</v>
      </c>
      <c r="AF7" s="20">
        <f t="shared" si="9"/>
        <v>0.99666666666667025</v>
      </c>
      <c r="AG7" s="170"/>
    </row>
    <row r="8" spans="1:33">
      <c r="A8" s="202" t="s">
        <v>281</v>
      </c>
      <c r="B8" s="35" t="s">
        <v>78</v>
      </c>
      <c r="C8" s="197" t="s">
        <v>82</v>
      </c>
      <c r="D8" s="198"/>
      <c r="E8" s="35">
        <v>50.67</v>
      </c>
      <c r="F8" s="4">
        <v>608</v>
      </c>
      <c r="G8" s="4">
        <f t="shared" si="0"/>
        <v>30807.360000000001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1920.0000000000068</v>
      </c>
      <c r="N8" s="16">
        <f t="shared" si="3"/>
        <v>91.428571428571757</v>
      </c>
      <c r="O8" s="18">
        <f t="shared" si="4"/>
        <v>0</v>
      </c>
      <c r="P8" s="19">
        <f t="shared" si="5"/>
        <v>-3.8095238095234834</v>
      </c>
      <c r="Q8" s="20">
        <f t="shared" si="6"/>
        <v>0.96000000000000341</v>
      </c>
      <c r="R8" s="170"/>
      <c r="S8" s="27">
        <v>0.79722222222222217</v>
      </c>
      <c r="T8" s="27">
        <v>0.81041666666666656</v>
      </c>
      <c r="U8" s="4">
        <f t="shared" si="10"/>
        <v>6.9999999999999751</v>
      </c>
      <c r="V8" s="21">
        <f t="shared" si="7"/>
        <v>18.999999999999932</v>
      </c>
      <c r="W8" s="27"/>
      <c r="X8" s="27"/>
      <c r="Y8" s="28"/>
      <c r="Z8" s="28"/>
      <c r="AA8" s="176"/>
      <c r="AB8" s="177"/>
      <c r="AC8" s="26"/>
      <c r="AD8" s="26"/>
      <c r="AE8" s="18">
        <f t="shared" si="8"/>
        <v>-79.999999999993179</v>
      </c>
      <c r="AF8" s="20">
        <f t="shared" si="9"/>
        <v>0.96000000000000341</v>
      </c>
      <c r="AG8" s="170"/>
    </row>
    <row r="9" spans="1:33">
      <c r="A9" s="202" t="s">
        <v>281</v>
      </c>
      <c r="B9" s="35" t="s">
        <v>78</v>
      </c>
      <c r="C9" s="197" t="s">
        <v>83</v>
      </c>
      <c r="D9" s="198"/>
      <c r="E9" s="35">
        <v>50.67</v>
      </c>
      <c r="F9" s="4">
        <v>865</v>
      </c>
      <c r="G9" s="4">
        <f t="shared" si="0"/>
        <v>43829.55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1922.2222222222176</v>
      </c>
      <c r="N9" s="16">
        <f t="shared" si="3"/>
        <v>120.1388888888886</v>
      </c>
      <c r="O9" s="18">
        <f t="shared" si="4"/>
        <v>0</v>
      </c>
      <c r="P9" s="19">
        <f t="shared" si="5"/>
        <v>-4.8611111111113985</v>
      </c>
      <c r="Q9" s="20">
        <f t="shared" si="6"/>
        <v>0.96111111111110881</v>
      </c>
      <c r="R9" s="170"/>
      <c r="S9" s="27">
        <v>0.81527777777777766</v>
      </c>
      <c r="T9" s="27">
        <v>0.8340277777777777</v>
      </c>
      <c r="U9" s="4">
        <f t="shared" si="10"/>
        <v>6.9999999999999751</v>
      </c>
      <c r="V9" s="21">
        <f t="shared" si="7"/>
        <v>27.000000000000064</v>
      </c>
      <c r="W9" s="22"/>
      <c r="X9" s="22"/>
      <c r="Y9" s="25"/>
      <c r="Z9" s="25"/>
      <c r="AA9" s="176"/>
      <c r="AB9" s="177"/>
      <c r="AC9" s="26"/>
      <c r="AD9" s="26"/>
      <c r="AE9" s="18">
        <f t="shared" si="8"/>
        <v>-77.777777777782376</v>
      </c>
      <c r="AF9" s="20">
        <f t="shared" si="9"/>
        <v>0.96111111111110881</v>
      </c>
      <c r="AG9" s="170"/>
    </row>
    <row r="10" spans="1:33">
      <c r="A10" s="202" t="s">
        <v>281</v>
      </c>
      <c r="B10" s="35" t="s">
        <v>282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1941.751111111113</v>
      </c>
      <c r="N10" s="16">
        <f t="shared" si="3"/>
        <v>109.08714107365803</v>
      </c>
      <c r="O10" s="18">
        <f t="shared" si="4"/>
        <v>0</v>
      </c>
      <c r="P10" s="19">
        <f t="shared" si="5"/>
        <v>-3.272409488139715</v>
      </c>
      <c r="Q10" s="20">
        <f t="shared" si="6"/>
        <v>0.97087555555555649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-58.248888888886995</v>
      </c>
      <c r="AF10" s="20">
        <f t="shared" si="9"/>
        <v>0.97087555555555649</v>
      </c>
      <c r="AG10" s="170"/>
    </row>
    <row r="11" spans="1:33" ht="15.75" customHeight="1">
      <c r="A11" s="196" t="s">
        <v>283</v>
      </c>
      <c r="B11" s="35" t="s">
        <v>84</v>
      </c>
      <c r="C11" s="197" t="s">
        <v>85</v>
      </c>
      <c r="D11" s="198"/>
      <c r="E11" s="35">
        <v>39.619999999999997</v>
      </c>
      <c r="F11" s="4">
        <v>3711</v>
      </c>
      <c r="G11" s="4">
        <f t="shared" ref="G11:G12" si="11">E11*F11</f>
        <v>147029.81999999998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1427.3076923076926</v>
      </c>
      <c r="N11" s="16">
        <f t="shared" si="3"/>
        <v>75.121457489878551</v>
      </c>
      <c r="O11" s="18">
        <f t="shared" si="4"/>
        <v>0</v>
      </c>
      <c r="P11" s="19">
        <f t="shared" si="5"/>
        <v>-3.8259109311740787</v>
      </c>
      <c r="Q11" s="20">
        <f t="shared" si="6"/>
        <v>0.95153846153846167</v>
      </c>
      <c r="R11" s="170">
        <f>Q13</f>
        <v>0.95384151992585731</v>
      </c>
      <c r="S11" s="27">
        <v>0.20833333333333334</v>
      </c>
      <c r="T11" s="27">
        <v>0.31666666666666665</v>
      </c>
      <c r="U11" s="4"/>
      <c r="V11" s="21">
        <f t="shared" ref="V11:V12" si="13">(T11-S11)*24*60</f>
        <v>155.99999999999997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-72.692307692307395</v>
      </c>
      <c r="AF11" s="20">
        <f t="shared" si="9"/>
        <v>0.95153846153846178</v>
      </c>
      <c r="AG11" s="170">
        <f>AF13</f>
        <v>0.9538415199258572</v>
      </c>
    </row>
    <row r="12" spans="1:33" ht="15.75" customHeight="1">
      <c r="A12" s="196" t="s">
        <v>283</v>
      </c>
      <c r="B12" s="35" t="s">
        <v>84</v>
      </c>
      <c r="C12" s="197" t="s">
        <v>86</v>
      </c>
      <c r="D12" s="198"/>
      <c r="E12" s="35">
        <v>39.799999999999997</v>
      </c>
      <c r="F12" s="4">
        <v>5952</v>
      </c>
      <c r="G12" s="4">
        <f t="shared" si="11"/>
        <v>236889.59999999998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1434.2168674698789</v>
      </c>
      <c r="N12" s="16">
        <f t="shared" si="3"/>
        <v>84.365698086463468</v>
      </c>
      <c r="O12" s="18">
        <f t="shared" si="4"/>
        <v>0</v>
      </c>
      <c r="P12" s="19">
        <f t="shared" si="5"/>
        <v>-3.8695960311835904</v>
      </c>
      <c r="Q12" s="20">
        <f t="shared" si="6"/>
        <v>0.95614457831325261</v>
      </c>
      <c r="R12" s="170"/>
      <c r="S12" s="27">
        <v>0.32152777777777775</v>
      </c>
      <c r="T12" s="27">
        <v>0.49444444444444446</v>
      </c>
      <c r="U12" s="4">
        <f t="shared" ref="U12" si="14">IF(S12=TIME(17,0,0),"",(S12-T11)*24*60)</f>
        <v>6.9999999999999751</v>
      </c>
      <c r="V12" s="21">
        <f t="shared" si="13"/>
        <v>249.00000000000009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-65.783132530121065</v>
      </c>
      <c r="AF12" s="20">
        <f t="shared" si="9"/>
        <v>0.95614457831325261</v>
      </c>
      <c r="AG12" s="170"/>
    </row>
    <row r="13" spans="1:33" ht="16.5" customHeight="1">
      <c r="A13" s="196" t="s">
        <v>283</v>
      </c>
      <c r="B13" s="35" t="s">
        <v>282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1430.7622798887858</v>
      </c>
      <c r="N13" s="16">
        <f t="shared" si="3"/>
        <v>79.486793327154771</v>
      </c>
      <c r="O13" s="18">
        <f t="shared" si="4"/>
        <v>0</v>
      </c>
      <c r="P13" s="19">
        <f t="shared" si="5"/>
        <v>-3.8465400061785573</v>
      </c>
      <c r="Q13" s="20">
        <f t="shared" si="6"/>
        <v>0.95384151992585731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v>2</v>
      </c>
      <c r="AD13" s="30">
        <f>SUM(AD11:AD12)</f>
        <v>0</v>
      </c>
      <c r="AE13" s="18">
        <f t="shared" si="8"/>
        <v>-69.23772011121423</v>
      </c>
      <c r="AF13" s="20">
        <f t="shared" si="9"/>
        <v>0.9538415199258572</v>
      </c>
      <c r="AG13" s="170"/>
    </row>
    <row r="14" spans="1:33" ht="16.5" customHeight="1">
      <c r="A14" s="194" t="s">
        <v>284</v>
      </c>
      <c r="B14" s="4" t="s">
        <v>87</v>
      </c>
      <c r="C14" s="190" t="s">
        <v>88</v>
      </c>
      <c r="D14" s="190"/>
      <c r="E14" s="35">
        <v>41</v>
      </c>
      <c r="F14" s="4">
        <v>2869</v>
      </c>
      <c r="G14" s="4">
        <f t="shared" ref="G14:G18" si="15">E14*F14</f>
        <v>117629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8" si="16">F14/V14*60</f>
        <v>1434.5</v>
      </c>
      <c r="N14" s="16">
        <f t="shared" si="3"/>
        <v>55.17307692307692</v>
      </c>
      <c r="O14" s="18">
        <f t="shared" si="4"/>
        <v>0</v>
      </c>
      <c r="P14" s="19">
        <f t="shared" si="5"/>
        <v>-2.5192307692307736</v>
      </c>
      <c r="Q14" s="20">
        <f t="shared" si="6"/>
        <v>0.95633333333333326</v>
      </c>
      <c r="R14" s="170">
        <f>Q19</f>
        <v>0.96288250286733779</v>
      </c>
      <c r="S14" s="27">
        <v>0.20833333333333334</v>
      </c>
      <c r="T14" s="27">
        <v>0.29166666666666669</v>
      </c>
      <c r="U14" s="4"/>
      <c r="V14" s="21">
        <f t="shared" ref="V14:V18" si="17">(T14-S14)*24*60</f>
        <v>120</v>
      </c>
      <c r="W14" s="27"/>
      <c r="X14" s="27"/>
      <c r="Y14" s="27"/>
      <c r="Z14" s="27"/>
      <c r="AA14" s="162"/>
      <c r="AB14" s="162"/>
      <c r="AC14" s="24">
        <v>5</v>
      </c>
      <c r="AD14" s="24"/>
      <c r="AE14" s="18">
        <f t="shared" si="8"/>
        <v>-65.5</v>
      </c>
      <c r="AF14" s="20">
        <f t="shared" si="9"/>
        <v>0.95633333333333337</v>
      </c>
      <c r="AG14" s="170">
        <f>AF19</f>
        <v>0.96288250286733779</v>
      </c>
    </row>
    <row r="15" spans="1:33" ht="16.5" customHeight="1">
      <c r="A15" s="195" t="s">
        <v>284</v>
      </c>
      <c r="B15" s="4" t="s">
        <v>78</v>
      </c>
      <c r="C15" s="190" t="s">
        <v>89</v>
      </c>
      <c r="D15" s="190"/>
      <c r="E15" s="35">
        <v>50.98</v>
      </c>
      <c r="F15" s="4">
        <v>2691</v>
      </c>
      <c r="G15" s="4">
        <f t="shared" si="15"/>
        <v>137187.18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1922.1428571428567</v>
      </c>
      <c r="N15" s="16">
        <f t="shared" si="3"/>
        <v>120.13392857142854</v>
      </c>
      <c r="O15" s="18">
        <f t="shared" si="4"/>
        <v>0</v>
      </c>
      <c r="P15" s="19">
        <f t="shared" si="5"/>
        <v>-4.866071428571459</v>
      </c>
      <c r="Q15" s="20">
        <f t="shared" si="6"/>
        <v>0.96107142857142835</v>
      </c>
      <c r="R15" s="170"/>
      <c r="S15" s="27">
        <v>0.70833333333333337</v>
      </c>
      <c r="T15" s="27">
        <v>0.76666666666666672</v>
      </c>
      <c r="U15" s="4" t="str">
        <f t="shared" ref="U15:U18" si="18">IF(S15=TIME(17,0,0),"",(S15-T14)*24*60)</f>
        <v/>
      </c>
      <c r="V15" s="21">
        <f t="shared" si="17"/>
        <v>84.000000000000028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-77.857142857143344</v>
      </c>
      <c r="AF15" s="20">
        <f t="shared" si="9"/>
        <v>0.96107142857142835</v>
      </c>
      <c r="AG15" s="170"/>
    </row>
    <row r="16" spans="1:33" ht="16.5" customHeight="1">
      <c r="A16" s="195" t="s">
        <v>284</v>
      </c>
      <c r="B16" s="4" t="s">
        <v>78</v>
      </c>
      <c r="C16" s="190" t="s">
        <v>90</v>
      </c>
      <c r="D16" s="190"/>
      <c r="E16" s="35">
        <v>50.92</v>
      </c>
      <c r="F16" s="4">
        <v>900</v>
      </c>
      <c r="G16" s="4">
        <f t="shared" si="15"/>
        <v>45828</v>
      </c>
      <c r="H16" s="21">
        <v>2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1928.5714285714246</v>
      </c>
      <c r="N16" s="16">
        <f t="shared" si="3"/>
        <v>128.5714285714283</v>
      </c>
      <c r="O16" s="18">
        <f t="shared" si="4"/>
        <v>0</v>
      </c>
      <c r="P16" s="19">
        <f t="shared" si="5"/>
        <v>-4.7619047619050434</v>
      </c>
      <c r="Q16" s="20">
        <f t="shared" si="6"/>
        <v>0.96428571428571219</v>
      </c>
      <c r="R16" s="170"/>
      <c r="S16" s="27">
        <v>0.77222222222222225</v>
      </c>
      <c r="T16" s="27">
        <v>0.79166666666666674</v>
      </c>
      <c r="U16" s="4">
        <f t="shared" si="18"/>
        <v>7.9999999999999716</v>
      </c>
      <c r="V16" s="21">
        <f t="shared" si="17"/>
        <v>28.00000000000006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-71.428571428575424</v>
      </c>
      <c r="AF16" s="20">
        <f t="shared" si="9"/>
        <v>0.9642857142857123</v>
      </c>
      <c r="AG16" s="170"/>
    </row>
    <row r="17" spans="1:33" ht="16.5" customHeight="1">
      <c r="A17" s="195" t="s">
        <v>284</v>
      </c>
      <c r="B17" s="4" t="s">
        <v>78</v>
      </c>
      <c r="C17" s="190" t="s">
        <v>91</v>
      </c>
      <c r="D17" s="190"/>
      <c r="E17" s="35">
        <v>50.67</v>
      </c>
      <c r="F17" s="4">
        <v>1898</v>
      </c>
      <c r="G17" s="4">
        <f t="shared" si="15"/>
        <v>96171.66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1930.1694915254254</v>
      </c>
      <c r="N17" s="16">
        <f t="shared" si="3"/>
        <v>128.67796610169503</v>
      </c>
      <c r="O17" s="18">
        <f t="shared" si="4"/>
        <v>0</v>
      </c>
      <c r="P17" s="19">
        <f t="shared" si="5"/>
        <v>-4.6553672316383086</v>
      </c>
      <c r="Q17" s="20">
        <f t="shared" si="6"/>
        <v>0.96508474576271264</v>
      </c>
      <c r="R17" s="170"/>
      <c r="S17" s="27">
        <v>0.79583333333333339</v>
      </c>
      <c r="T17" s="27">
        <v>0.83680555555555558</v>
      </c>
      <c r="U17" s="4">
        <f t="shared" si="18"/>
        <v>5.9999999999999787</v>
      </c>
      <c r="V17" s="21">
        <f t="shared" si="17"/>
        <v>58.99999999999995</v>
      </c>
      <c r="W17" s="22">
        <f>T17</f>
        <v>0.83680555555555558</v>
      </c>
      <c r="X17" s="22">
        <f>S18</f>
        <v>0.87847222222222221</v>
      </c>
      <c r="Y17" s="22"/>
      <c r="Z17" s="22"/>
      <c r="AA17" s="162"/>
      <c r="AB17" s="162"/>
      <c r="AC17" s="24"/>
      <c r="AD17" s="24"/>
      <c r="AE17" s="18">
        <f t="shared" si="8"/>
        <v>-69.830508474574572</v>
      </c>
      <c r="AF17" s="20">
        <f t="shared" si="9"/>
        <v>0.96508474576271275</v>
      </c>
      <c r="AG17" s="170"/>
    </row>
    <row r="18" spans="1:33" ht="16.5" customHeight="1">
      <c r="A18" s="195" t="s">
        <v>284</v>
      </c>
      <c r="B18" s="4" t="s">
        <v>78</v>
      </c>
      <c r="C18" s="190" t="s">
        <v>90</v>
      </c>
      <c r="D18" s="190"/>
      <c r="E18" s="35">
        <v>50.92</v>
      </c>
      <c r="F18" s="4">
        <v>1771</v>
      </c>
      <c r="G18" s="4">
        <f t="shared" si="15"/>
        <v>90179.32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1932.0000000000014</v>
      </c>
      <c r="N18" s="16">
        <f t="shared" si="3"/>
        <v>128.8000000000001</v>
      </c>
      <c r="O18" s="18">
        <f t="shared" si="4"/>
        <v>0</v>
      </c>
      <c r="P18" s="19">
        <f t="shared" si="5"/>
        <v>-4.5333333333332462</v>
      </c>
      <c r="Q18" s="20">
        <f t="shared" si="6"/>
        <v>0.96600000000000064</v>
      </c>
      <c r="R18" s="170"/>
      <c r="S18" s="27">
        <v>0.87847222222222221</v>
      </c>
      <c r="T18" s="27">
        <v>0.91666666666666663</v>
      </c>
      <c r="U18" s="4">
        <f t="shared" si="18"/>
        <v>59.999999999999943</v>
      </c>
      <c r="V18" s="21">
        <f t="shared" si="17"/>
        <v>54.999999999999964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-67.999999999998636</v>
      </c>
      <c r="AF18" s="20">
        <f t="shared" si="9"/>
        <v>0.96600000000000064</v>
      </c>
      <c r="AG18" s="170"/>
    </row>
    <row r="19" spans="1:33" ht="16.5" customHeight="1">
      <c r="A19" s="195" t="s">
        <v>284</v>
      </c>
      <c r="B19" s="35" t="s">
        <v>282</v>
      </c>
      <c r="C19" s="171"/>
      <c r="D19" s="171"/>
      <c r="E19" s="36"/>
      <c r="F19" s="16"/>
      <c r="G19" s="16"/>
      <c r="H19" s="4"/>
      <c r="I19" s="29">
        <v>17.399999999999999</v>
      </c>
      <c r="J19" s="17">
        <v>1900</v>
      </c>
      <c r="K19" s="16">
        <f t="shared" si="1"/>
        <v>109.19540229885058</v>
      </c>
      <c r="L19" s="29">
        <v>17.399999999999999</v>
      </c>
      <c r="M19" s="17">
        <f>AVERAGE(M14:M18)</f>
        <v>1829.4767554479417</v>
      </c>
      <c r="N19" s="16">
        <f t="shared" si="3"/>
        <v>105.1423422671231</v>
      </c>
      <c r="O19" s="18">
        <f t="shared" si="4"/>
        <v>0</v>
      </c>
      <c r="P19" s="19">
        <f t="shared" si="5"/>
        <v>-4.0530600317274832</v>
      </c>
      <c r="Q19" s="20">
        <f t="shared" si="6"/>
        <v>0.96288250286733779</v>
      </c>
      <c r="R19" s="170"/>
      <c r="S19" s="27"/>
      <c r="T19" s="27"/>
      <c r="U19" s="4"/>
      <c r="V19" s="21"/>
      <c r="W19" s="16"/>
      <c r="X19" s="16"/>
      <c r="Y19" s="30">
        <f>SUM(Y14:Y18)</f>
        <v>0</v>
      </c>
      <c r="Z19" s="30">
        <f>SUM(Z14:Z18)</f>
        <v>0</v>
      </c>
      <c r="AA19" s="166"/>
      <c r="AB19" s="166"/>
      <c r="AC19" s="30">
        <v>5</v>
      </c>
      <c r="AD19" s="30">
        <f>SUM(AD14:AD18)</f>
        <v>0</v>
      </c>
      <c r="AE19" s="18">
        <f t="shared" si="8"/>
        <v>-70.523244552058259</v>
      </c>
      <c r="AF19" s="20">
        <f t="shared" si="9"/>
        <v>0.96288250286733779</v>
      </c>
      <c r="AG19" s="170"/>
    </row>
    <row r="20" spans="1:33" ht="15.75" customHeight="1">
      <c r="A20" s="192" t="s">
        <v>285</v>
      </c>
      <c r="B20" s="35" t="s">
        <v>78</v>
      </c>
      <c r="C20" s="190" t="s">
        <v>92</v>
      </c>
      <c r="D20" s="190"/>
      <c r="E20" s="35">
        <v>57.73</v>
      </c>
      <c r="F20" s="4">
        <v>3059</v>
      </c>
      <c r="G20" s="4">
        <f t="shared" ref="G20:G25" si="19">E20*F20</f>
        <v>176596.06999999998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5" si="20">F20/V20*60</f>
        <v>1911.8749999999998</v>
      </c>
      <c r="N20" s="16">
        <f t="shared" si="3"/>
        <v>136.56249999999997</v>
      </c>
      <c r="O20" s="18">
        <f t="shared" si="4"/>
        <v>0</v>
      </c>
      <c r="P20" s="19">
        <f t="shared" si="5"/>
        <v>-6.2946428571428896</v>
      </c>
      <c r="Q20" s="20">
        <f t="shared" si="6"/>
        <v>0.95593749999999977</v>
      </c>
      <c r="R20" s="170">
        <f>Q26</f>
        <v>0.95808694025168994</v>
      </c>
      <c r="S20" s="27">
        <v>0.20833333333333334</v>
      </c>
      <c r="T20" s="27">
        <v>0.27500000000000002</v>
      </c>
      <c r="U20" s="4"/>
      <c r="V20" s="21">
        <f t="shared" ref="V20:V25" si="21">(T20-S20)*24*60</f>
        <v>96.000000000000014</v>
      </c>
      <c r="W20" s="27"/>
      <c r="X20" s="27"/>
      <c r="Y20" s="27"/>
      <c r="Z20" s="27"/>
      <c r="AA20" s="162"/>
      <c r="AB20" s="162"/>
      <c r="AC20" s="24">
        <v>6</v>
      </c>
      <c r="AD20" s="24"/>
      <c r="AE20" s="18">
        <f t="shared" si="8"/>
        <v>-88.125000000000227</v>
      </c>
      <c r="AF20" s="20">
        <f t="shared" si="9"/>
        <v>0.95593749999999988</v>
      </c>
      <c r="AG20" s="170">
        <f>AF26</f>
        <v>0.95808694025168994</v>
      </c>
    </row>
    <row r="21" spans="1:33" ht="15.75" customHeight="1">
      <c r="A21" s="193" t="s">
        <v>285</v>
      </c>
      <c r="B21" s="35" t="s">
        <v>78</v>
      </c>
      <c r="C21" s="190" t="s">
        <v>93</v>
      </c>
      <c r="D21" s="190"/>
      <c r="E21" s="35">
        <v>53.68</v>
      </c>
      <c r="F21" s="4">
        <v>1682</v>
      </c>
      <c r="G21" s="4">
        <f t="shared" si="19"/>
        <v>90289.76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1904.1509433962274</v>
      </c>
      <c r="N21" s="16">
        <f t="shared" si="3"/>
        <v>119.00943396226421</v>
      </c>
      <c r="O21" s="18">
        <f t="shared" si="4"/>
        <v>0</v>
      </c>
      <c r="P21" s="19">
        <f t="shared" si="5"/>
        <v>-5.990566037735789</v>
      </c>
      <c r="Q21" s="20">
        <f t="shared" si="6"/>
        <v>0.95207547169811368</v>
      </c>
      <c r="R21" s="170"/>
      <c r="S21" s="27">
        <v>0.27986111111111112</v>
      </c>
      <c r="T21" s="27">
        <v>0.31666666666666665</v>
      </c>
      <c r="U21" s="4">
        <f t="shared" ref="U21:U25" si="22">IF(S21=TIME(17,0,0),"",(S21-T20)*24*60)</f>
        <v>6.9999999999999751</v>
      </c>
      <c r="V21" s="21">
        <f t="shared" si="21"/>
        <v>52.999999999999972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-95.849056603772624</v>
      </c>
      <c r="AF21" s="20">
        <f t="shared" si="9"/>
        <v>0.95207547169811368</v>
      </c>
      <c r="AG21" s="170"/>
    </row>
    <row r="22" spans="1:33" ht="15.75" customHeight="1">
      <c r="A22" s="193" t="s">
        <v>285</v>
      </c>
      <c r="B22" s="35" t="s">
        <v>78</v>
      </c>
      <c r="C22" s="190" t="s">
        <v>94</v>
      </c>
      <c r="D22" s="190"/>
      <c r="E22" s="35">
        <v>50.49</v>
      </c>
      <c r="F22" s="4">
        <v>2253</v>
      </c>
      <c r="G22" s="4">
        <f t="shared" si="19"/>
        <v>113753.97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1903.9436619718292</v>
      </c>
      <c r="N22" s="16">
        <f t="shared" si="3"/>
        <v>126.92957746478861</v>
      </c>
      <c r="O22" s="18">
        <f t="shared" si="4"/>
        <v>0</v>
      </c>
      <c r="P22" s="19">
        <f t="shared" si="5"/>
        <v>-6.4037558685447351</v>
      </c>
      <c r="Q22" s="20">
        <f t="shared" si="6"/>
        <v>0.95197183098591454</v>
      </c>
      <c r="R22" s="170"/>
      <c r="S22" s="27">
        <v>0.70833333333333337</v>
      </c>
      <c r="T22" s="27">
        <v>0.75763888888888897</v>
      </c>
      <c r="U22" s="4" t="str">
        <f t="shared" si="22"/>
        <v/>
      </c>
      <c r="V22" s="21">
        <f t="shared" si="21"/>
        <v>71.000000000000071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-96.056338028170785</v>
      </c>
      <c r="AF22" s="20">
        <f t="shared" si="9"/>
        <v>0.95197183098591465</v>
      </c>
      <c r="AG22" s="170"/>
    </row>
    <row r="23" spans="1:33" ht="15.75" customHeight="1">
      <c r="A23" s="193" t="s">
        <v>285</v>
      </c>
      <c r="B23" s="35" t="s">
        <v>78</v>
      </c>
      <c r="C23" s="190" t="s">
        <v>95</v>
      </c>
      <c r="D23" s="190"/>
      <c r="E23" s="35">
        <v>53.68</v>
      </c>
      <c r="F23" s="4">
        <v>700</v>
      </c>
      <c r="G23" s="4">
        <f t="shared" si="19"/>
        <v>37576</v>
      </c>
      <c r="H23" s="21">
        <v>2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1448.2758620689626</v>
      </c>
      <c r="N23" s="16">
        <f t="shared" si="3"/>
        <v>90.517241379310164</v>
      </c>
      <c r="O23" s="18">
        <f t="shared" si="4"/>
        <v>0</v>
      </c>
      <c r="P23" s="19">
        <f t="shared" si="5"/>
        <v>-3.232758620689836</v>
      </c>
      <c r="Q23" s="20">
        <f t="shared" si="6"/>
        <v>0.96551724137930839</v>
      </c>
      <c r="R23" s="170"/>
      <c r="S23" s="27">
        <v>0.76319444444444451</v>
      </c>
      <c r="T23" s="27">
        <v>0.78333333333333344</v>
      </c>
      <c r="U23" s="4">
        <f t="shared" si="22"/>
        <v>7.9999999999999716</v>
      </c>
      <c r="V23" s="21">
        <f t="shared" si="21"/>
        <v>29.000000000000057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-51.724137931037376</v>
      </c>
      <c r="AF23" s="20">
        <f t="shared" si="9"/>
        <v>0.96551724137930839</v>
      </c>
      <c r="AG23" s="170"/>
    </row>
    <row r="24" spans="1:33" ht="15.75" customHeight="1">
      <c r="A24" s="193" t="s">
        <v>285</v>
      </c>
      <c r="B24" s="35" t="s">
        <v>78</v>
      </c>
      <c r="C24" s="190" t="s">
        <v>96</v>
      </c>
      <c r="D24" s="190"/>
      <c r="E24" s="35">
        <v>57.3</v>
      </c>
      <c r="F24" s="4">
        <v>2086</v>
      </c>
      <c r="G24" s="4">
        <f t="shared" si="19"/>
        <v>119527.79999999999</v>
      </c>
      <c r="H24" s="21" t="s">
        <v>133</v>
      </c>
      <c r="I24" s="15">
        <v>13</v>
      </c>
      <c r="J24" s="17">
        <v>2000</v>
      </c>
      <c r="K24" s="16">
        <f t="shared" si="1"/>
        <v>153.84615384615384</v>
      </c>
      <c r="L24" s="15">
        <v>13</v>
      </c>
      <c r="M24" s="17">
        <f t="shared" si="20"/>
        <v>1925.5384615384637</v>
      </c>
      <c r="N24" s="16">
        <f t="shared" si="3"/>
        <v>148.11834319526645</v>
      </c>
      <c r="O24" s="18">
        <f t="shared" si="4"/>
        <v>0</v>
      </c>
      <c r="P24" s="19">
        <f t="shared" si="5"/>
        <v>-5.7278106508873918</v>
      </c>
      <c r="Q24" s="20">
        <f t="shared" si="6"/>
        <v>0.96276923076923193</v>
      </c>
      <c r="R24" s="170"/>
      <c r="S24" s="27">
        <v>0.78750000000000009</v>
      </c>
      <c r="T24" s="27">
        <v>0.83263888888888893</v>
      </c>
      <c r="U24" s="4">
        <f t="shared" si="22"/>
        <v>5.9999999999999787</v>
      </c>
      <c r="V24" s="21">
        <f t="shared" si="21"/>
        <v>64.999999999999929</v>
      </c>
      <c r="W24" s="22">
        <f>T24</f>
        <v>0.83263888888888893</v>
      </c>
      <c r="X24" s="22">
        <f>S25</f>
        <v>0.87361111111111112</v>
      </c>
      <c r="Y24" s="4"/>
      <c r="Z24" s="4"/>
      <c r="AA24" s="162"/>
      <c r="AB24" s="162"/>
      <c r="AC24" s="24"/>
      <c r="AD24" s="24"/>
      <c r="AE24" s="18">
        <f t="shared" si="8"/>
        <v>-74.461538461536293</v>
      </c>
      <c r="AF24" s="20">
        <f t="shared" si="9"/>
        <v>0.96276923076923182</v>
      </c>
      <c r="AG24" s="170"/>
    </row>
    <row r="25" spans="1:33" ht="15.75" customHeight="1">
      <c r="A25" s="193" t="s">
        <v>285</v>
      </c>
      <c r="B25" s="35" t="s">
        <v>78</v>
      </c>
      <c r="C25" s="190" t="s">
        <v>95</v>
      </c>
      <c r="D25" s="190"/>
      <c r="E25" s="35">
        <v>53.68</v>
      </c>
      <c r="F25" s="4">
        <v>1397</v>
      </c>
      <c r="G25" s="4">
        <f t="shared" si="19"/>
        <v>74990.960000000006</v>
      </c>
      <c r="H25" s="21" t="s">
        <v>133</v>
      </c>
      <c r="I25" s="15">
        <v>16</v>
      </c>
      <c r="J25" s="17">
        <v>1500</v>
      </c>
      <c r="K25" s="16">
        <f t="shared" si="1"/>
        <v>93.75</v>
      </c>
      <c r="L25" s="15">
        <v>16</v>
      </c>
      <c r="M25" s="17">
        <f t="shared" si="20"/>
        <v>1445.1724137931044</v>
      </c>
      <c r="N25" s="16">
        <f t="shared" si="3"/>
        <v>90.323275862069025</v>
      </c>
      <c r="O25" s="18">
        <f t="shared" si="4"/>
        <v>0</v>
      </c>
      <c r="P25" s="19">
        <f t="shared" si="5"/>
        <v>-3.4267241379309752</v>
      </c>
      <c r="Q25" s="20">
        <f t="shared" si="6"/>
        <v>0.9634482758620696</v>
      </c>
      <c r="R25" s="170"/>
      <c r="S25" s="27">
        <v>0.87361111111111112</v>
      </c>
      <c r="T25" s="27">
        <v>0.91388888888888886</v>
      </c>
      <c r="U25" s="4">
        <f t="shared" si="22"/>
        <v>58.99999999999995</v>
      </c>
      <c r="V25" s="21">
        <f t="shared" si="21"/>
        <v>57.999999999999957</v>
      </c>
      <c r="W25" s="22"/>
      <c r="X25" s="27"/>
      <c r="Y25" s="27"/>
      <c r="Z25" s="27"/>
      <c r="AA25" s="162"/>
      <c r="AB25" s="162"/>
      <c r="AC25" s="24"/>
      <c r="AD25" s="24"/>
      <c r="AE25" s="18">
        <f t="shared" si="8"/>
        <v>-54.827586206895603</v>
      </c>
      <c r="AF25" s="20">
        <f t="shared" si="9"/>
        <v>0.9634482758620696</v>
      </c>
      <c r="AG25" s="170"/>
    </row>
    <row r="26" spans="1:33" ht="15.75" customHeight="1">
      <c r="A26" s="193" t="s">
        <v>285</v>
      </c>
      <c r="B26" s="35" t="s">
        <v>282</v>
      </c>
      <c r="C26" s="171"/>
      <c r="D26" s="171"/>
      <c r="E26" s="36"/>
      <c r="F26" s="4"/>
      <c r="G26" s="4"/>
      <c r="H26" s="4"/>
      <c r="I26" s="29">
        <v>15</v>
      </c>
      <c r="J26" s="17">
        <v>1833.3333333333333</v>
      </c>
      <c r="K26" s="16">
        <f t="shared" si="1"/>
        <v>122.22222222222221</v>
      </c>
      <c r="L26" s="29">
        <v>15</v>
      </c>
      <c r="M26" s="17">
        <f>AVERAGE(M20:M25)</f>
        <v>1756.4927237947647</v>
      </c>
      <c r="N26" s="16">
        <f t="shared" si="3"/>
        <v>117.09951491965099</v>
      </c>
      <c r="O26" s="18">
        <f t="shared" si="4"/>
        <v>0</v>
      </c>
      <c r="P26" s="19">
        <f t="shared" si="5"/>
        <v>-5.1227073025712286</v>
      </c>
      <c r="Q26" s="20">
        <f t="shared" si="6"/>
        <v>0.95808694025168994</v>
      </c>
      <c r="R26" s="170"/>
      <c r="S26" s="27"/>
      <c r="T26" s="27"/>
      <c r="U26" s="16"/>
      <c r="V26" s="21"/>
      <c r="W26" s="16"/>
      <c r="X26" s="16"/>
      <c r="Y26" s="30">
        <f>SUM(Y20:Y25)</f>
        <v>0</v>
      </c>
      <c r="Z26" s="30">
        <f>SUM(Z20:Z25)</f>
        <v>0</v>
      </c>
      <c r="AA26" s="166"/>
      <c r="AB26" s="166"/>
      <c r="AC26" s="30">
        <v>6</v>
      </c>
      <c r="AD26" s="30">
        <f>SUM(AD20:AD25)</f>
        <v>0</v>
      </c>
      <c r="AE26" s="18">
        <f t="shared" si="8"/>
        <v>-76.840609538568515</v>
      </c>
      <c r="AF26" s="20">
        <f t="shared" si="9"/>
        <v>0.95808694025168994</v>
      </c>
      <c r="AG26" s="170"/>
    </row>
    <row r="27" spans="1:33" ht="15.75" customHeight="1">
      <c r="A27" s="191" t="s">
        <v>286</v>
      </c>
      <c r="B27" s="35" t="s">
        <v>97</v>
      </c>
      <c r="C27" s="190" t="s">
        <v>98</v>
      </c>
      <c r="D27" s="190"/>
      <c r="E27" s="35">
        <v>31.29</v>
      </c>
      <c r="F27" s="4">
        <v>6600</v>
      </c>
      <c r="G27" s="4">
        <f t="shared" ref="G27:G33" si="23">E27*F27</f>
        <v>206514</v>
      </c>
      <c r="H27" s="21">
        <v>2</v>
      </c>
      <c r="I27" s="15">
        <v>18</v>
      </c>
      <c r="J27" s="17">
        <v>2400</v>
      </c>
      <c r="K27" s="16">
        <f t="shared" si="1"/>
        <v>133.33333333333334</v>
      </c>
      <c r="L27" s="15">
        <v>18</v>
      </c>
      <c r="M27" s="17">
        <f t="shared" ref="M27:M33" si="24">F27/V27*60</f>
        <v>2289.0173410404618</v>
      </c>
      <c r="N27" s="16">
        <f t="shared" si="3"/>
        <v>127.16763005780344</v>
      </c>
      <c r="O27" s="18">
        <f t="shared" si="4"/>
        <v>0</v>
      </c>
      <c r="P27" s="19">
        <f t="shared" si="5"/>
        <v>-6.165703275529907</v>
      </c>
      <c r="Q27" s="20">
        <f t="shared" si="6"/>
        <v>0.9537572254335257</v>
      </c>
      <c r="R27" s="170">
        <f>Q34</f>
        <v>0.9583819926602738</v>
      </c>
      <c r="S27" s="27">
        <v>0.125</v>
      </c>
      <c r="T27" s="27">
        <v>0.24513888888888891</v>
      </c>
      <c r="U27" s="4"/>
      <c r="V27" s="21">
        <f t="shared" ref="V27:V33" si="25">(T27-S27)*24*60</f>
        <v>173.00000000000003</v>
      </c>
      <c r="W27" s="22">
        <f>T27</f>
        <v>0.24513888888888891</v>
      </c>
      <c r="X27" s="22">
        <f>S28</f>
        <v>0.26527777777777778</v>
      </c>
      <c r="Y27" s="22"/>
      <c r="Z27" s="22"/>
      <c r="AA27" s="162"/>
      <c r="AB27" s="162"/>
      <c r="AC27" s="24">
        <v>7</v>
      </c>
      <c r="AD27" s="24"/>
      <c r="AE27" s="18">
        <f t="shared" si="8"/>
        <v>-110.98265895953818</v>
      </c>
      <c r="AF27" s="20">
        <f t="shared" si="9"/>
        <v>0.9537572254335257</v>
      </c>
      <c r="AG27" s="170">
        <f>AF34</f>
        <v>0.9583819926602738</v>
      </c>
    </row>
    <row r="28" spans="1:33" ht="15.75" customHeight="1">
      <c r="A28" s="191" t="s">
        <v>286</v>
      </c>
      <c r="B28" s="35" t="s">
        <v>97</v>
      </c>
      <c r="C28" s="190" t="s">
        <v>99</v>
      </c>
      <c r="D28" s="190"/>
      <c r="E28" s="35">
        <v>25.98</v>
      </c>
      <c r="F28" s="4">
        <v>3139</v>
      </c>
      <c r="G28" s="4">
        <f t="shared" si="23"/>
        <v>81551.22</v>
      </c>
      <c r="H28" s="21" t="s">
        <v>133</v>
      </c>
      <c r="I28" s="15">
        <v>21</v>
      </c>
      <c r="J28" s="17">
        <v>2400</v>
      </c>
      <c r="K28" s="16">
        <f t="shared" si="1"/>
        <v>114.28571428571429</v>
      </c>
      <c r="L28" s="15">
        <v>21</v>
      </c>
      <c r="M28" s="17">
        <f t="shared" si="24"/>
        <v>2296.8292682926822</v>
      </c>
      <c r="N28" s="16">
        <f t="shared" si="3"/>
        <v>109.37282229965153</v>
      </c>
      <c r="O28" s="18">
        <f t="shared" si="4"/>
        <v>0</v>
      </c>
      <c r="P28" s="19">
        <f t="shared" si="5"/>
        <v>-4.9128919860627605</v>
      </c>
      <c r="Q28" s="20">
        <f t="shared" si="6"/>
        <v>0.9570121951219509</v>
      </c>
      <c r="R28" s="170"/>
      <c r="S28" s="27">
        <v>0.26527777777777778</v>
      </c>
      <c r="T28" s="27">
        <v>0.32222222222222224</v>
      </c>
      <c r="U28" s="4">
        <f t="shared" ref="U28:U33" si="26">(S28-T27)*24*60</f>
        <v>28.999999999999979</v>
      </c>
      <c r="V28" s="21">
        <f t="shared" si="25"/>
        <v>82.000000000000028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8"/>
        <v>-103.17073170731783</v>
      </c>
      <c r="AF28" s="20">
        <f t="shared" si="9"/>
        <v>0.9570121951219509</v>
      </c>
      <c r="AG28" s="170"/>
    </row>
    <row r="29" spans="1:33" ht="15.75" customHeight="1">
      <c r="A29" s="191" t="s">
        <v>286</v>
      </c>
      <c r="B29" s="35" t="s">
        <v>97</v>
      </c>
      <c r="C29" s="190" t="s">
        <v>100</v>
      </c>
      <c r="D29" s="190"/>
      <c r="E29" s="35">
        <v>26.2</v>
      </c>
      <c r="F29" s="4">
        <v>3600</v>
      </c>
      <c r="G29" s="4">
        <f t="shared" si="23"/>
        <v>94320</v>
      </c>
      <c r="H29" s="21">
        <v>2</v>
      </c>
      <c r="I29" s="15">
        <v>20</v>
      </c>
      <c r="J29" s="17">
        <v>2400</v>
      </c>
      <c r="K29" s="16">
        <f t="shared" si="1"/>
        <v>120</v>
      </c>
      <c r="L29" s="15">
        <v>20</v>
      </c>
      <c r="M29" s="17">
        <f t="shared" si="24"/>
        <v>2297.872340425532</v>
      </c>
      <c r="N29" s="16">
        <f t="shared" si="3"/>
        <v>114.8936170212766</v>
      </c>
      <c r="O29" s="18">
        <f t="shared" si="4"/>
        <v>0</v>
      </c>
      <c r="P29" s="19">
        <f t="shared" si="5"/>
        <v>-5.1063829787234027</v>
      </c>
      <c r="Q29" s="20">
        <f t="shared" si="6"/>
        <v>0.95744680851063835</v>
      </c>
      <c r="R29" s="170"/>
      <c r="S29" s="27">
        <v>0.3263888888888889</v>
      </c>
      <c r="T29" s="27">
        <v>0.39166666666666666</v>
      </c>
      <c r="U29" s="4">
        <f t="shared" si="26"/>
        <v>5.9999999999999787</v>
      </c>
      <c r="V29" s="21">
        <f t="shared" si="25"/>
        <v>93.999999999999986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8"/>
        <v>-102.127659574468</v>
      </c>
      <c r="AF29" s="20">
        <f t="shared" si="9"/>
        <v>0.95744680851063835</v>
      </c>
      <c r="AG29" s="170"/>
    </row>
    <row r="30" spans="1:33" ht="15.75" customHeight="1">
      <c r="A30" s="191" t="s">
        <v>286</v>
      </c>
      <c r="B30" s="35" t="s">
        <v>97</v>
      </c>
      <c r="C30" s="190" t="s">
        <v>101</v>
      </c>
      <c r="D30" s="190"/>
      <c r="E30" s="35">
        <v>25.99</v>
      </c>
      <c r="F30" s="4">
        <v>4449</v>
      </c>
      <c r="G30" s="4">
        <f t="shared" si="23"/>
        <v>115629.51</v>
      </c>
      <c r="H30" s="21" t="s">
        <v>133</v>
      </c>
      <c r="I30" s="15">
        <v>14</v>
      </c>
      <c r="J30" s="17">
        <v>2400</v>
      </c>
      <c r="K30" s="16">
        <f t="shared" si="1"/>
        <v>171.42857142857142</v>
      </c>
      <c r="L30" s="15">
        <v>14</v>
      </c>
      <c r="M30" s="17">
        <f t="shared" si="24"/>
        <v>2301.2068965517242</v>
      </c>
      <c r="N30" s="16">
        <f t="shared" si="3"/>
        <v>164.37192118226602</v>
      </c>
      <c r="O30" s="18">
        <f t="shared" si="4"/>
        <v>0</v>
      </c>
      <c r="P30" s="19">
        <f t="shared" si="5"/>
        <v>-7.0566502463053951</v>
      </c>
      <c r="Q30" s="20">
        <f t="shared" si="6"/>
        <v>0.95883620689655191</v>
      </c>
      <c r="R30" s="170"/>
      <c r="S30" s="27">
        <v>0.3972222222222222</v>
      </c>
      <c r="T30" s="27">
        <v>0.47777777777777775</v>
      </c>
      <c r="U30" s="4">
        <f t="shared" si="26"/>
        <v>7.9999999999999716</v>
      </c>
      <c r="V30" s="21">
        <f t="shared" si="25"/>
        <v>115.99999999999999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8"/>
        <v>-98.793103448275815</v>
      </c>
      <c r="AF30" s="20">
        <f t="shared" si="9"/>
        <v>0.95883620689655169</v>
      </c>
      <c r="AG30" s="170"/>
    </row>
    <row r="31" spans="1:33" ht="15.75" customHeight="1">
      <c r="A31" s="191" t="s">
        <v>286</v>
      </c>
      <c r="B31" s="35" t="s">
        <v>97</v>
      </c>
      <c r="C31" s="190" t="s">
        <v>102</v>
      </c>
      <c r="D31" s="190"/>
      <c r="E31" s="35">
        <v>26.18</v>
      </c>
      <c r="F31" s="4">
        <v>2039</v>
      </c>
      <c r="G31" s="4">
        <f t="shared" si="23"/>
        <v>53381.02</v>
      </c>
      <c r="H31" s="21" t="s">
        <v>133</v>
      </c>
      <c r="I31" s="15">
        <v>19</v>
      </c>
      <c r="J31" s="17">
        <v>2400</v>
      </c>
      <c r="K31" s="16">
        <f t="shared" si="1"/>
        <v>126.31578947368421</v>
      </c>
      <c r="L31" s="15">
        <v>19</v>
      </c>
      <c r="M31" s="17">
        <f t="shared" si="24"/>
        <v>2308.3018867924538</v>
      </c>
      <c r="N31" s="16">
        <f t="shared" si="3"/>
        <v>121.48957298907652</v>
      </c>
      <c r="O31" s="18">
        <f t="shared" si="4"/>
        <v>0</v>
      </c>
      <c r="P31" s="19">
        <f t="shared" si="5"/>
        <v>-4.8262164846076843</v>
      </c>
      <c r="Q31" s="20">
        <f t="shared" si="6"/>
        <v>0.96179245283018922</v>
      </c>
      <c r="R31" s="170"/>
      <c r="S31" s="27">
        <v>0.4819444444444444</v>
      </c>
      <c r="T31" s="27">
        <v>0.51874999999999993</v>
      </c>
      <c r="U31" s="4">
        <f t="shared" si="26"/>
        <v>5.9999999999999787</v>
      </c>
      <c r="V31" s="21">
        <f t="shared" si="25"/>
        <v>52.999999999999972</v>
      </c>
      <c r="W31" s="22">
        <f>T31</f>
        <v>0.51874999999999993</v>
      </c>
      <c r="X31" s="22">
        <f>S32</f>
        <v>0.56041666666666656</v>
      </c>
      <c r="Y31" s="22"/>
      <c r="Z31" s="22"/>
      <c r="AA31" s="162"/>
      <c r="AB31" s="162"/>
      <c r="AC31" s="24"/>
      <c r="AD31" s="24"/>
      <c r="AE31" s="18">
        <f t="shared" si="8"/>
        <v>-91.698113207546157</v>
      </c>
      <c r="AF31" s="20">
        <f t="shared" si="9"/>
        <v>0.9617924528301891</v>
      </c>
      <c r="AG31" s="170"/>
    </row>
    <row r="32" spans="1:33" ht="15.75" customHeight="1">
      <c r="A32" s="191" t="s">
        <v>286</v>
      </c>
      <c r="B32" s="35" t="s">
        <v>97</v>
      </c>
      <c r="C32" s="190" t="s">
        <v>98</v>
      </c>
      <c r="D32" s="190"/>
      <c r="E32" s="35">
        <v>31.29</v>
      </c>
      <c r="F32" s="4">
        <v>3436</v>
      </c>
      <c r="G32" s="4">
        <f t="shared" si="23"/>
        <v>107512.44</v>
      </c>
      <c r="H32" s="21" t="s">
        <v>133</v>
      </c>
      <c r="I32" s="15">
        <v>18</v>
      </c>
      <c r="J32" s="17">
        <v>2400</v>
      </c>
      <c r="K32" s="16">
        <f t="shared" si="1"/>
        <v>133.33333333333334</v>
      </c>
      <c r="L32" s="15">
        <v>18</v>
      </c>
      <c r="M32" s="17">
        <f t="shared" si="24"/>
        <v>2290.6666666666665</v>
      </c>
      <c r="N32" s="16">
        <f t="shared" si="3"/>
        <v>127.25925925925925</v>
      </c>
      <c r="O32" s="18">
        <f t="shared" si="4"/>
        <v>0</v>
      </c>
      <c r="P32" s="19">
        <f t="shared" si="5"/>
        <v>-6.0740740740740904</v>
      </c>
      <c r="Q32" s="20">
        <f t="shared" si="6"/>
        <v>0.95444444444444432</v>
      </c>
      <c r="R32" s="170"/>
      <c r="S32" s="27">
        <v>0.56041666666666656</v>
      </c>
      <c r="T32" s="27">
        <v>0.62291666666666656</v>
      </c>
      <c r="U32" s="4">
        <f t="shared" si="26"/>
        <v>59.999999999999943</v>
      </c>
      <c r="V32" s="21">
        <f t="shared" si="25"/>
        <v>90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8"/>
        <v>-109.33333333333348</v>
      </c>
      <c r="AF32" s="20">
        <f t="shared" si="9"/>
        <v>0.95444444444444443</v>
      </c>
      <c r="AG32" s="170"/>
    </row>
    <row r="33" spans="1:33" ht="15.75" customHeight="1">
      <c r="A33" s="191" t="s">
        <v>286</v>
      </c>
      <c r="B33" s="35" t="s">
        <v>97</v>
      </c>
      <c r="C33" s="190" t="s">
        <v>100</v>
      </c>
      <c r="D33" s="190"/>
      <c r="E33" s="35">
        <v>26.2</v>
      </c>
      <c r="F33" s="4">
        <v>2008</v>
      </c>
      <c r="G33" s="4">
        <f t="shared" si="23"/>
        <v>52609.599999999999</v>
      </c>
      <c r="H33" s="21" t="s">
        <v>133</v>
      </c>
      <c r="I33" s="15">
        <v>20</v>
      </c>
      <c r="J33" s="17">
        <v>2400</v>
      </c>
      <c r="K33" s="16">
        <f t="shared" si="1"/>
        <v>120</v>
      </c>
      <c r="L33" s="15">
        <v>20</v>
      </c>
      <c r="M33" s="17">
        <f t="shared" si="24"/>
        <v>2316.923076923078</v>
      </c>
      <c r="N33" s="16">
        <f t="shared" si="3"/>
        <v>115.8461538461539</v>
      </c>
      <c r="O33" s="18">
        <f t="shared" si="4"/>
        <v>0</v>
      </c>
      <c r="P33" s="19">
        <f t="shared" si="5"/>
        <v>-4.1538461538461036</v>
      </c>
      <c r="Q33" s="20">
        <f t="shared" si="6"/>
        <v>0.96538461538461584</v>
      </c>
      <c r="R33" s="170"/>
      <c r="S33" s="27">
        <v>0.62708333333333321</v>
      </c>
      <c r="T33" s="27">
        <v>0.66319444444444431</v>
      </c>
      <c r="U33" s="4">
        <f t="shared" si="26"/>
        <v>5.9999999999999787</v>
      </c>
      <c r="V33" s="21">
        <f t="shared" si="25"/>
        <v>51.999999999999972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8"/>
        <v>-83.076923076921958</v>
      </c>
      <c r="AF33" s="20">
        <f t="shared" si="9"/>
        <v>0.96538461538461584</v>
      </c>
      <c r="AG33" s="170"/>
    </row>
    <row r="34" spans="1:33" ht="15.75" customHeight="1">
      <c r="A34" s="191" t="s">
        <v>286</v>
      </c>
      <c r="B34" s="35" t="s">
        <v>282</v>
      </c>
      <c r="C34" s="171"/>
      <c r="D34" s="171"/>
      <c r="E34" s="36"/>
      <c r="F34" s="4"/>
      <c r="G34" s="4"/>
      <c r="H34" s="4"/>
      <c r="I34" s="29">
        <v>18.571428571428573</v>
      </c>
      <c r="J34" s="17">
        <v>2400</v>
      </c>
      <c r="K34" s="16">
        <f t="shared" si="1"/>
        <v>129.23076923076923</v>
      </c>
      <c r="L34" s="29">
        <v>18.571428571428573</v>
      </c>
      <c r="M34" s="17">
        <f>AVERAGE(M27:M33)</f>
        <v>2300.1167823846572</v>
      </c>
      <c r="N34" s="16">
        <f t="shared" si="3"/>
        <v>123.8524421284046</v>
      </c>
      <c r="O34" s="18">
        <f t="shared" si="4"/>
        <v>0</v>
      </c>
      <c r="P34" s="19">
        <f t="shared" si="5"/>
        <v>-5.3783271023646222</v>
      </c>
      <c r="Q34" s="20">
        <f t="shared" si="6"/>
        <v>0.9583819926602738</v>
      </c>
      <c r="R34" s="170"/>
      <c r="S34" s="27"/>
      <c r="T34" s="27"/>
      <c r="U34" s="4"/>
      <c r="V34" s="21"/>
      <c r="W34" s="4"/>
      <c r="X34" s="4"/>
      <c r="Y34" s="30">
        <f>SUM(Y27:Y33)</f>
        <v>0</v>
      </c>
      <c r="Z34" s="30">
        <f>SUM(Z27:Z33)</f>
        <v>0</v>
      </c>
      <c r="AA34" s="166"/>
      <c r="AB34" s="166"/>
      <c r="AC34" s="30">
        <v>7</v>
      </c>
      <c r="AD34" s="30">
        <f>SUM(AD27:AD33)</f>
        <v>0</v>
      </c>
      <c r="AE34" s="18">
        <f t="shared" si="8"/>
        <v>-99.883217615342801</v>
      </c>
      <c r="AF34" s="20">
        <f t="shared" si="9"/>
        <v>0.9583819926602738</v>
      </c>
      <c r="AG34" s="170"/>
    </row>
    <row r="35" spans="1:33" ht="15.75" customHeight="1">
      <c r="A35" s="188" t="s">
        <v>287</v>
      </c>
      <c r="B35" s="35" t="s">
        <v>97</v>
      </c>
      <c r="C35" s="163" t="s">
        <v>103</v>
      </c>
      <c r="D35" s="163"/>
      <c r="E35" s="35">
        <v>26.2</v>
      </c>
      <c r="F35" s="4">
        <v>4700</v>
      </c>
      <c r="G35" s="4">
        <f t="shared" ref="G35:G42" si="27">E35*F35</f>
        <v>123140</v>
      </c>
      <c r="H35" s="21">
        <v>2</v>
      </c>
      <c r="I35" s="15">
        <v>18</v>
      </c>
      <c r="J35" s="17">
        <v>2400</v>
      </c>
      <c r="K35" s="16">
        <f t="shared" si="1"/>
        <v>133.33333333333334</v>
      </c>
      <c r="L35" s="15">
        <v>18</v>
      </c>
      <c r="M35" s="17">
        <f t="shared" ref="M35:M42" si="28">F35/V35*60</f>
        <v>2292.682926829269</v>
      </c>
      <c r="N35" s="16">
        <f t="shared" si="3"/>
        <v>127.37127371273716</v>
      </c>
      <c r="O35" s="18">
        <f t="shared" si="4"/>
        <v>0</v>
      </c>
      <c r="P35" s="19">
        <f t="shared" si="5"/>
        <v>-5.9620596205961789</v>
      </c>
      <c r="Q35" s="20">
        <f t="shared" si="6"/>
        <v>0.95528455284552871</v>
      </c>
      <c r="R35" s="170">
        <f>Q43</f>
        <v>0.95740863353815475</v>
      </c>
      <c r="S35" s="27">
        <v>0.125</v>
      </c>
      <c r="T35" s="27">
        <v>0.21041666666666664</v>
      </c>
      <c r="U35" s="4"/>
      <c r="V35" s="21">
        <f t="shared" ref="V35:V42" si="29">(T35-S35)*24*60</f>
        <v>122.99999999999996</v>
      </c>
      <c r="W35" s="27">
        <f>T35</f>
        <v>0.21041666666666664</v>
      </c>
      <c r="X35" s="27">
        <f>S36</f>
        <v>0.2298611111111111</v>
      </c>
      <c r="Y35" s="27"/>
      <c r="Z35" s="27"/>
      <c r="AA35" s="162"/>
      <c r="AB35" s="162"/>
      <c r="AC35" s="24">
        <v>8</v>
      </c>
      <c r="AD35" s="24"/>
      <c r="AE35" s="18">
        <f t="shared" si="8"/>
        <v>-107.31707317073096</v>
      </c>
      <c r="AF35" s="20">
        <f t="shared" si="9"/>
        <v>0.95528455284552871</v>
      </c>
      <c r="AG35" s="170">
        <f>AF43</f>
        <v>0.95740863353815486</v>
      </c>
    </row>
    <row r="36" spans="1:33" ht="15.75" customHeight="1">
      <c r="A36" s="188" t="s">
        <v>60</v>
      </c>
      <c r="B36" s="35" t="s">
        <v>97</v>
      </c>
      <c r="C36" s="163" t="s">
        <v>104</v>
      </c>
      <c r="D36" s="163"/>
      <c r="E36" s="35">
        <v>20.52</v>
      </c>
      <c r="F36" s="4">
        <v>2800</v>
      </c>
      <c r="G36" s="4">
        <f t="shared" si="27"/>
        <v>57456</v>
      </c>
      <c r="H36" s="21">
        <v>2</v>
      </c>
      <c r="I36" s="15">
        <v>18</v>
      </c>
      <c r="J36" s="17">
        <v>2400</v>
      </c>
      <c r="K36" s="16">
        <f t="shared" si="1"/>
        <v>133.33333333333334</v>
      </c>
      <c r="L36" s="15">
        <v>18</v>
      </c>
      <c r="M36" s="17">
        <f t="shared" si="28"/>
        <v>2301.3698630136978</v>
      </c>
      <c r="N36" s="16">
        <f t="shared" si="3"/>
        <v>127.85388127853876</v>
      </c>
      <c r="O36" s="18">
        <f t="shared" si="4"/>
        <v>0</v>
      </c>
      <c r="P36" s="19">
        <f t="shared" si="5"/>
        <v>-5.479452054794578</v>
      </c>
      <c r="Q36" s="20">
        <f t="shared" si="6"/>
        <v>0.95890410958904071</v>
      </c>
      <c r="R36" s="170"/>
      <c r="S36" s="27">
        <v>0.2298611111111111</v>
      </c>
      <c r="T36" s="27">
        <v>0.28055555555555556</v>
      </c>
      <c r="U36" s="4">
        <f t="shared" ref="U36:U42" si="30">(S36-T35)*24*60</f>
        <v>28.000000000000021</v>
      </c>
      <c r="V36" s="21">
        <f t="shared" si="29"/>
        <v>73.000000000000014</v>
      </c>
      <c r="W36" s="4"/>
      <c r="X36" s="4"/>
      <c r="Y36" s="4"/>
      <c r="Z36" s="4"/>
      <c r="AA36" s="162"/>
      <c r="AB36" s="162"/>
      <c r="AC36" s="24"/>
      <c r="AD36" s="24"/>
      <c r="AE36" s="18">
        <f t="shared" si="8"/>
        <v>-98.630136986302205</v>
      </c>
      <c r="AF36" s="20">
        <f t="shared" si="9"/>
        <v>0.95890410958904071</v>
      </c>
      <c r="AG36" s="170"/>
    </row>
    <row r="37" spans="1:33">
      <c r="A37" s="189" t="s">
        <v>288</v>
      </c>
      <c r="B37" s="35" t="s">
        <v>97</v>
      </c>
      <c r="C37" s="163" t="s">
        <v>105</v>
      </c>
      <c r="D37" s="163"/>
      <c r="E37" s="35">
        <v>26.39</v>
      </c>
      <c r="F37" s="4">
        <v>4200</v>
      </c>
      <c r="G37" s="4">
        <f t="shared" si="27"/>
        <v>110838</v>
      </c>
      <c r="H37" s="21">
        <v>2</v>
      </c>
      <c r="I37" s="15">
        <v>19</v>
      </c>
      <c r="J37" s="17">
        <v>2400</v>
      </c>
      <c r="K37" s="16">
        <f t="shared" si="1"/>
        <v>126.31578947368421</v>
      </c>
      <c r="L37" s="15">
        <v>19</v>
      </c>
      <c r="M37" s="17">
        <f t="shared" si="28"/>
        <v>2290.909090909091</v>
      </c>
      <c r="N37" s="16">
        <f t="shared" si="3"/>
        <v>120.57416267942584</v>
      </c>
      <c r="O37" s="18">
        <f t="shared" si="4"/>
        <v>0</v>
      </c>
      <c r="P37" s="19">
        <f t="shared" si="5"/>
        <v>-5.7416267942583659</v>
      </c>
      <c r="Q37" s="20">
        <f t="shared" si="6"/>
        <v>0.95454545454545459</v>
      </c>
      <c r="R37" s="170"/>
      <c r="S37" s="27">
        <v>0.28402777777777777</v>
      </c>
      <c r="T37" s="27">
        <v>0.36041666666666666</v>
      </c>
      <c r="U37" s="4">
        <f t="shared" si="30"/>
        <v>4.9999999999999822</v>
      </c>
      <c r="V37" s="21">
        <f t="shared" si="29"/>
        <v>110.00000000000001</v>
      </c>
      <c r="W37" s="4"/>
      <c r="X37" s="4"/>
      <c r="Y37" s="4"/>
      <c r="Z37" s="4"/>
      <c r="AA37" s="162"/>
      <c r="AB37" s="162"/>
      <c r="AC37" s="24"/>
      <c r="AD37" s="24"/>
      <c r="AE37" s="18">
        <f t="shared" si="8"/>
        <v>-109.09090909090901</v>
      </c>
      <c r="AF37" s="20">
        <f t="shared" si="9"/>
        <v>0.95454545454545459</v>
      </c>
      <c r="AG37" s="170"/>
    </row>
    <row r="38" spans="1:33">
      <c r="A38" s="189" t="s">
        <v>60</v>
      </c>
      <c r="B38" s="35" t="s">
        <v>97</v>
      </c>
      <c r="C38" s="163" t="s">
        <v>106</v>
      </c>
      <c r="D38" s="163"/>
      <c r="E38" s="35">
        <v>20.21</v>
      </c>
      <c r="F38" s="4">
        <v>3262</v>
      </c>
      <c r="G38" s="4">
        <f t="shared" si="27"/>
        <v>65925.02</v>
      </c>
      <c r="H38" s="21" t="s">
        <v>133</v>
      </c>
      <c r="I38" s="15">
        <v>15</v>
      </c>
      <c r="J38" s="17">
        <v>2400</v>
      </c>
      <c r="K38" s="16">
        <f t="shared" si="1"/>
        <v>160</v>
      </c>
      <c r="L38" s="15">
        <v>15</v>
      </c>
      <c r="M38" s="17">
        <f t="shared" si="28"/>
        <v>2302.5882352941171</v>
      </c>
      <c r="N38" s="16">
        <f t="shared" si="3"/>
        <v>153.50588235294114</v>
      </c>
      <c r="O38" s="18">
        <f t="shared" si="4"/>
        <v>0</v>
      </c>
      <c r="P38" s="19">
        <f t="shared" si="5"/>
        <v>-6.4941176470588573</v>
      </c>
      <c r="Q38" s="20">
        <f t="shared" si="6"/>
        <v>0.95941176470588219</v>
      </c>
      <c r="R38" s="170"/>
      <c r="S38" s="27">
        <v>0.36527777777777776</v>
      </c>
      <c r="T38" s="27">
        <v>0.42430555555555555</v>
      </c>
      <c r="U38" s="4">
        <f t="shared" si="30"/>
        <v>6.9999999999999751</v>
      </c>
      <c r="V38" s="21">
        <f t="shared" si="29"/>
        <v>85.000000000000014</v>
      </c>
      <c r="W38" s="22"/>
      <c r="X38" s="22"/>
      <c r="Y38" s="22"/>
      <c r="Z38" s="22"/>
      <c r="AA38" s="162"/>
      <c r="AB38" s="162"/>
      <c r="AC38" s="24"/>
      <c r="AD38" s="24"/>
      <c r="AE38" s="18">
        <f t="shared" si="8"/>
        <v>-97.411764705882888</v>
      </c>
      <c r="AF38" s="20">
        <f t="shared" si="9"/>
        <v>0.95941176470588208</v>
      </c>
      <c r="AG38" s="170"/>
    </row>
    <row r="39" spans="1:33">
      <c r="A39" s="189" t="s">
        <v>289</v>
      </c>
      <c r="B39" s="35" t="s">
        <v>97</v>
      </c>
      <c r="C39" s="163" t="s">
        <v>107</v>
      </c>
      <c r="D39" s="163"/>
      <c r="E39" s="35">
        <v>20.52</v>
      </c>
      <c r="F39" s="4">
        <v>3141</v>
      </c>
      <c r="G39" s="4">
        <f t="shared" si="27"/>
        <v>64453.32</v>
      </c>
      <c r="H39" s="21" t="s">
        <v>133</v>
      </c>
      <c r="I39" s="15">
        <v>18</v>
      </c>
      <c r="J39" s="17">
        <v>2400</v>
      </c>
      <c r="K39" s="16">
        <f t="shared" si="1"/>
        <v>133.33333333333334</v>
      </c>
      <c r="L39" s="15">
        <v>18</v>
      </c>
      <c r="M39" s="17">
        <f t="shared" si="28"/>
        <v>2298.2926829268285</v>
      </c>
      <c r="N39" s="16">
        <f t="shared" si="3"/>
        <v>127.68292682926825</v>
      </c>
      <c r="O39" s="18">
        <f t="shared" si="4"/>
        <v>0</v>
      </c>
      <c r="P39" s="19">
        <f t="shared" si="5"/>
        <v>-5.6504065040650886</v>
      </c>
      <c r="Q39" s="20">
        <f t="shared" si="6"/>
        <v>0.95762195121951188</v>
      </c>
      <c r="R39" s="170"/>
      <c r="S39" s="27">
        <v>0.42986111111111108</v>
      </c>
      <c r="T39" s="27">
        <v>0.48680555555555555</v>
      </c>
      <c r="U39" s="4">
        <f t="shared" si="30"/>
        <v>7.9999999999999716</v>
      </c>
      <c r="V39" s="21">
        <f t="shared" si="29"/>
        <v>82.000000000000028</v>
      </c>
      <c r="W39" s="22">
        <f>T39</f>
        <v>0.48680555555555555</v>
      </c>
      <c r="X39" s="22">
        <f>S40</f>
        <v>0.52847222222222223</v>
      </c>
      <c r="Y39" s="22"/>
      <c r="Z39" s="22"/>
      <c r="AA39" s="162"/>
      <c r="AB39" s="162"/>
      <c r="AC39" s="24"/>
      <c r="AD39" s="24"/>
      <c r="AE39" s="18">
        <f t="shared" si="8"/>
        <v>-101.70731707317145</v>
      </c>
      <c r="AF39" s="20">
        <f t="shared" si="9"/>
        <v>0.95762195121951188</v>
      </c>
      <c r="AG39" s="170"/>
    </row>
    <row r="40" spans="1:33">
      <c r="A40" s="189" t="s">
        <v>290</v>
      </c>
      <c r="B40" s="35" t="s">
        <v>97</v>
      </c>
      <c r="C40" s="163" t="s">
        <v>103</v>
      </c>
      <c r="D40" s="163"/>
      <c r="E40" s="35">
        <v>26.2</v>
      </c>
      <c r="F40" s="4">
        <v>2885</v>
      </c>
      <c r="G40" s="4">
        <f t="shared" si="27"/>
        <v>75587</v>
      </c>
      <c r="H40" s="21" t="s">
        <v>133</v>
      </c>
      <c r="I40" s="15">
        <v>18</v>
      </c>
      <c r="J40" s="17">
        <v>2400</v>
      </c>
      <c r="K40" s="16">
        <f t="shared" si="1"/>
        <v>133.33333333333334</v>
      </c>
      <c r="L40" s="15">
        <v>18</v>
      </c>
      <c r="M40" s="17">
        <f t="shared" si="28"/>
        <v>2307.9999999999982</v>
      </c>
      <c r="N40" s="16">
        <f t="shared" si="3"/>
        <v>128.22222222222211</v>
      </c>
      <c r="O40" s="18">
        <f t="shared" si="4"/>
        <v>0</v>
      </c>
      <c r="P40" s="19">
        <f t="shared" si="5"/>
        <v>-5.111111111111228</v>
      </c>
      <c r="Q40" s="20">
        <f t="shared" si="6"/>
        <v>0.96166666666666578</v>
      </c>
      <c r="R40" s="170"/>
      <c r="S40" s="27">
        <v>0.52847222222222223</v>
      </c>
      <c r="T40" s="27">
        <v>0.5805555555555556</v>
      </c>
      <c r="U40" s="4">
        <f t="shared" si="30"/>
        <v>60.000000000000028</v>
      </c>
      <c r="V40" s="21">
        <f t="shared" si="29"/>
        <v>75.000000000000057</v>
      </c>
      <c r="W40" s="22"/>
      <c r="X40" s="22"/>
      <c r="Y40" s="22"/>
      <c r="Z40" s="22"/>
      <c r="AA40" s="162"/>
      <c r="AB40" s="162"/>
      <c r="AC40" s="24"/>
      <c r="AD40" s="24"/>
      <c r="AE40" s="18">
        <f t="shared" si="8"/>
        <v>-92.000000000001819</v>
      </c>
      <c r="AF40" s="20">
        <f t="shared" si="9"/>
        <v>0.96166666666666589</v>
      </c>
      <c r="AG40" s="170"/>
    </row>
    <row r="41" spans="1:33">
      <c r="A41" s="189" t="s">
        <v>287</v>
      </c>
      <c r="B41" s="35" t="s">
        <v>97</v>
      </c>
      <c r="C41" s="163" t="s">
        <v>105</v>
      </c>
      <c r="D41" s="163"/>
      <c r="E41" s="35">
        <v>26.39</v>
      </c>
      <c r="F41" s="4">
        <v>2145</v>
      </c>
      <c r="G41" s="4">
        <f t="shared" si="27"/>
        <v>56606.55</v>
      </c>
      <c r="H41" s="21" t="s">
        <v>133</v>
      </c>
      <c r="I41" s="15">
        <v>19</v>
      </c>
      <c r="J41" s="17">
        <v>2400</v>
      </c>
      <c r="K41" s="16">
        <f t="shared" si="1"/>
        <v>126.31578947368421</v>
      </c>
      <c r="L41" s="15">
        <v>19</v>
      </c>
      <c r="M41" s="17">
        <f t="shared" si="28"/>
        <v>2298.2142857142876</v>
      </c>
      <c r="N41" s="16">
        <f t="shared" si="3"/>
        <v>120.95864661654146</v>
      </c>
      <c r="O41" s="18">
        <f t="shared" si="4"/>
        <v>0</v>
      </c>
      <c r="P41" s="19">
        <f t="shared" si="5"/>
        <v>-5.3571428571427475</v>
      </c>
      <c r="Q41" s="20">
        <f t="shared" si="6"/>
        <v>0.95758928571428659</v>
      </c>
      <c r="R41" s="170"/>
      <c r="S41" s="27">
        <v>0.5854166666666667</v>
      </c>
      <c r="T41" s="27">
        <v>0.62430555555555556</v>
      </c>
      <c r="U41" s="4">
        <f t="shared" si="30"/>
        <v>6.9999999999999751</v>
      </c>
      <c r="V41" s="21">
        <f t="shared" si="29"/>
        <v>55.999999999999957</v>
      </c>
      <c r="W41" s="22"/>
      <c r="X41" s="22"/>
      <c r="Y41" s="25"/>
      <c r="Z41" s="25"/>
      <c r="AA41" s="176"/>
      <c r="AB41" s="177"/>
      <c r="AC41" s="24"/>
      <c r="AD41" s="24"/>
      <c r="AE41" s="18">
        <f t="shared" si="8"/>
        <v>-101.7857142857124</v>
      </c>
      <c r="AF41" s="20">
        <f t="shared" si="9"/>
        <v>0.95758928571428648</v>
      </c>
      <c r="AG41" s="170"/>
    </row>
    <row r="42" spans="1:33">
      <c r="A42" s="189" t="s">
        <v>60</v>
      </c>
      <c r="B42" s="35" t="s">
        <v>97</v>
      </c>
      <c r="C42" s="163" t="s">
        <v>104</v>
      </c>
      <c r="D42" s="163"/>
      <c r="E42" s="35">
        <v>20.52</v>
      </c>
      <c r="F42" s="4">
        <v>2023</v>
      </c>
      <c r="G42" s="4">
        <f t="shared" si="27"/>
        <v>41511.96</v>
      </c>
      <c r="H42" s="21" t="s">
        <v>133</v>
      </c>
      <c r="I42" s="15">
        <v>18</v>
      </c>
      <c r="J42" s="17">
        <v>2400</v>
      </c>
      <c r="K42" s="16">
        <f t="shared" si="1"/>
        <v>133.33333333333334</v>
      </c>
      <c r="L42" s="15">
        <v>18</v>
      </c>
      <c r="M42" s="17">
        <f t="shared" si="28"/>
        <v>2290.1886792452842</v>
      </c>
      <c r="N42" s="16">
        <f t="shared" si="3"/>
        <v>127.23270440251579</v>
      </c>
      <c r="O42" s="18">
        <f t="shared" si="4"/>
        <v>0</v>
      </c>
      <c r="P42" s="19">
        <f t="shared" si="5"/>
        <v>-6.1006289308175496</v>
      </c>
      <c r="Q42" s="20">
        <f t="shared" si="6"/>
        <v>0.95424528301886835</v>
      </c>
      <c r="R42" s="170"/>
      <c r="S42" s="27">
        <v>0.62847222222222221</v>
      </c>
      <c r="T42" s="27">
        <v>0.66527777777777775</v>
      </c>
      <c r="U42" s="4">
        <f t="shared" si="30"/>
        <v>5.9999999999999787</v>
      </c>
      <c r="V42" s="21">
        <f t="shared" si="29"/>
        <v>52.999999999999972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8"/>
        <v>-109.81132075471578</v>
      </c>
      <c r="AF42" s="20">
        <f t="shared" si="9"/>
        <v>0.95424528301886846</v>
      </c>
      <c r="AG42" s="170"/>
    </row>
    <row r="43" spans="1:33">
      <c r="A43" s="189" t="s">
        <v>60</v>
      </c>
      <c r="B43" s="16" t="s">
        <v>291</v>
      </c>
      <c r="C43" s="171"/>
      <c r="D43" s="171"/>
      <c r="E43" s="36"/>
      <c r="F43" s="16"/>
      <c r="G43" s="16"/>
      <c r="H43" s="4"/>
      <c r="I43" s="29">
        <v>17.875</v>
      </c>
      <c r="J43" s="17">
        <v>2400</v>
      </c>
      <c r="K43" s="16">
        <f t="shared" si="1"/>
        <v>134.26573426573427</v>
      </c>
      <c r="L43" s="29">
        <v>17.875</v>
      </c>
      <c r="M43" s="17">
        <f>AVERAGE(M35:M42)</f>
        <v>2297.7807204915716</v>
      </c>
      <c r="N43" s="16">
        <f t="shared" si="3"/>
        <v>128.54717317435365</v>
      </c>
      <c r="O43" s="18">
        <f t="shared" si="4"/>
        <v>0</v>
      </c>
      <c r="P43" s="19">
        <f t="shared" si="5"/>
        <v>-5.7185610913806215</v>
      </c>
      <c r="Q43" s="20">
        <f t="shared" si="6"/>
        <v>0.95740863353815475</v>
      </c>
      <c r="R43" s="170"/>
      <c r="S43" s="27"/>
      <c r="T43" s="27"/>
      <c r="U43" s="16"/>
      <c r="V43" s="21"/>
      <c r="W43" s="16"/>
      <c r="X43" s="16"/>
      <c r="Y43" s="30">
        <f>SUM(Y35:Y42)</f>
        <v>0</v>
      </c>
      <c r="Z43" s="30">
        <f>SUM(Z35:Z42)</f>
        <v>0</v>
      </c>
      <c r="AA43" s="166"/>
      <c r="AB43" s="166"/>
      <c r="AC43" s="30">
        <v>8</v>
      </c>
      <c r="AD43" s="30">
        <f>SUM(AD35:AD42)</f>
        <v>0</v>
      </c>
      <c r="AE43" s="18">
        <f t="shared" si="8"/>
        <v>-102.21927950842837</v>
      </c>
      <c r="AF43" s="20">
        <f t="shared" si="9"/>
        <v>0.95740863353815486</v>
      </c>
      <c r="AG43" s="170"/>
    </row>
    <row r="44" spans="1:33" ht="15.75" customHeight="1">
      <c r="A44" s="182" t="s">
        <v>66</v>
      </c>
      <c r="B44" s="35" t="s">
        <v>108</v>
      </c>
      <c r="C44" s="174" t="s">
        <v>109</v>
      </c>
      <c r="D44" s="175"/>
      <c r="E44" s="35">
        <v>34.36</v>
      </c>
      <c r="F44" s="4">
        <v>2770</v>
      </c>
      <c r="G44" s="4">
        <f t="shared" ref="G44:G50" si="31">E44*F44</f>
        <v>95177.2</v>
      </c>
      <c r="H44" s="21" t="s">
        <v>133</v>
      </c>
      <c r="I44" s="15">
        <v>10</v>
      </c>
      <c r="J44" s="17">
        <v>3000</v>
      </c>
      <c r="K44" s="16">
        <f t="shared" si="1"/>
        <v>300</v>
      </c>
      <c r="L44" s="15">
        <v>10</v>
      </c>
      <c r="M44" s="17">
        <f t="shared" ref="M44:M50" si="32">F44/V44*60</f>
        <v>2865.5172413793107</v>
      </c>
      <c r="N44" s="17">
        <f t="shared" si="3"/>
        <v>286.55172413793105</v>
      </c>
      <c r="O44" s="18">
        <f t="shared" si="4"/>
        <v>0</v>
      </c>
      <c r="P44" s="19">
        <f t="shared" si="5"/>
        <v>-13.448275862068954</v>
      </c>
      <c r="Q44" s="20">
        <f t="shared" si="6"/>
        <v>0.95517241379310347</v>
      </c>
      <c r="R44" s="185">
        <f>Q51</f>
        <v>0.95866481035188333</v>
      </c>
      <c r="S44" s="27">
        <v>0.20833333333333334</v>
      </c>
      <c r="T44" s="27">
        <v>0.24861111111111112</v>
      </c>
      <c r="U44" s="27"/>
      <c r="V44" s="21">
        <f t="shared" ref="V44:V50" si="33">(T44-S44)*24*60</f>
        <v>57.999999999999993</v>
      </c>
      <c r="W44" s="22"/>
      <c r="X44" s="22"/>
      <c r="Y44" s="25"/>
      <c r="Z44" s="25"/>
      <c r="AA44" s="176"/>
      <c r="AB44" s="177"/>
      <c r="AC44" s="24">
        <v>7</v>
      </c>
      <c r="AD44" s="24"/>
      <c r="AE44" s="18">
        <f t="shared" si="8"/>
        <v>-134.48275862068931</v>
      </c>
      <c r="AF44" s="20">
        <f t="shared" si="9"/>
        <v>0.95517241379310358</v>
      </c>
      <c r="AG44" s="185">
        <f>AF51</f>
        <v>0.95866481035188322</v>
      </c>
    </row>
    <row r="45" spans="1:33" ht="15.75" customHeight="1">
      <c r="A45" s="183" t="s">
        <v>292</v>
      </c>
      <c r="B45" s="35" t="s">
        <v>108</v>
      </c>
      <c r="C45" s="174" t="s">
        <v>110</v>
      </c>
      <c r="D45" s="175"/>
      <c r="E45" s="35">
        <v>26.78</v>
      </c>
      <c r="F45" s="4">
        <v>3136</v>
      </c>
      <c r="G45" s="4">
        <f t="shared" si="31"/>
        <v>83982.080000000002</v>
      </c>
      <c r="H45" s="21" t="s">
        <v>133</v>
      </c>
      <c r="I45" s="15">
        <v>10</v>
      </c>
      <c r="J45" s="17">
        <v>3000</v>
      </c>
      <c r="K45" s="16">
        <f t="shared" si="1"/>
        <v>300</v>
      </c>
      <c r="L45" s="15">
        <v>10</v>
      </c>
      <c r="M45" s="17">
        <f t="shared" si="32"/>
        <v>2894.7692307692305</v>
      </c>
      <c r="N45" s="17">
        <f t="shared" si="3"/>
        <v>289.47692307692307</v>
      </c>
      <c r="O45" s="18">
        <f t="shared" si="4"/>
        <v>0</v>
      </c>
      <c r="P45" s="19">
        <f t="shared" si="5"/>
        <v>-10.523076923076928</v>
      </c>
      <c r="Q45" s="20">
        <f t="shared" si="6"/>
        <v>0.96492307692307688</v>
      </c>
      <c r="R45" s="186"/>
      <c r="S45" s="27">
        <v>0.25416666666666665</v>
      </c>
      <c r="T45" s="27">
        <v>0.29930555555555555</v>
      </c>
      <c r="U45" s="4">
        <f t="shared" ref="U45:U50" si="34">(S45-T44)*24*60</f>
        <v>7.9999999999999716</v>
      </c>
      <c r="V45" s="21">
        <f t="shared" si="33"/>
        <v>65.000000000000014</v>
      </c>
      <c r="W45" s="22"/>
      <c r="X45" s="22"/>
      <c r="Y45" s="25"/>
      <c r="Z45" s="25"/>
      <c r="AA45" s="176"/>
      <c r="AB45" s="177"/>
      <c r="AC45" s="24"/>
      <c r="AD45" s="24"/>
      <c r="AE45" s="18">
        <f t="shared" si="8"/>
        <v>-105.23076923076951</v>
      </c>
      <c r="AF45" s="20">
        <f t="shared" si="9"/>
        <v>0.96492307692307688</v>
      </c>
      <c r="AG45" s="186"/>
    </row>
    <row r="46" spans="1:33" ht="15.75" customHeight="1">
      <c r="A46" s="183" t="s">
        <v>66</v>
      </c>
      <c r="B46" s="35" t="s">
        <v>108</v>
      </c>
      <c r="C46" s="174" t="s">
        <v>111</v>
      </c>
      <c r="D46" s="175"/>
      <c r="E46" s="35">
        <v>21.13</v>
      </c>
      <c r="F46" s="4">
        <v>3700</v>
      </c>
      <c r="G46" s="4">
        <f t="shared" si="31"/>
        <v>78181</v>
      </c>
      <c r="H46" s="21">
        <v>2</v>
      </c>
      <c r="I46" s="15">
        <v>10</v>
      </c>
      <c r="J46" s="17">
        <v>3000</v>
      </c>
      <c r="K46" s="16">
        <f t="shared" si="1"/>
        <v>300</v>
      </c>
      <c r="L46" s="15">
        <v>10</v>
      </c>
      <c r="M46" s="17">
        <f t="shared" si="32"/>
        <v>2883.1168831168839</v>
      </c>
      <c r="N46" s="17">
        <f t="shared" si="3"/>
        <v>288.31168831168839</v>
      </c>
      <c r="O46" s="18">
        <f t="shared" si="4"/>
        <v>0</v>
      </c>
      <c r="P46" s="19">
        <f t="shared" si="5"/>
        <v>-11.688311688311614</v>
      </c>
      <c r="Q46" s="20">
        <f t="shared" si="6"/>
        <v>0.96103896103896125</v>
      </c>
      <c r="R46" s="186"/>
      <c r="S46" s="27">
        <v>0.30416666666666664</v>
      </c>
      <c r="T46" s="27">
        <v>0.35763888888888884</v>
      </c>
      <c r="U46" s="4">
        <f t="shared" si="34"/>
        <v>6.9999999999999751</v>
      </c>
      <c r="V46" s="21">
        <f t="shared" si="33"/>
        <v>76.999999999999972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8"/>
        <v>-116.88311688311614</v>
      </c>
      <c r="AF46" s="20">
        <f t="shared" si="9"/>
        <v>0.96103896103896125</v>
      </c>
      <c r="AG46" s="186"/>
    </row>
    <row r="47" spans="1:33" ht="15.75" customHeight="1">
      <c r="A47" s="183" t="s">
        <v>66</v>
      </c>
      <c r="B47" s="35" t="s">
        <v>108</v>
      </c>
      <c r="C47" s="174" t="s">
        <v>112</v>
      </c>
      <c r="D47" s="175"/>
      <c r="E47" s="35">
        <v>27.17</v>
      </c>
      <c r="F47" s="4">
        <v>4800</v>
      </c>
      <c r="G47" s="4">
        <f t="shared" si="31"/>
        <v>130416.00000000001</v>
      </c>
      <c r="H47" s="21">
        <v>2</v>
      </c>
      <c r="I47" s="15">
        <v>10</v>
      </c>
      <c r="J47" s="17">
        <v>3000</v>
      </c>
      <c r="K47" s="16">
        <f t="shared" si="1"/>
        <v>300</v>
      </c>
      <c r="L47" s="15">
        <v>10</v>
      </c>
      <c r="M47" s="17">
        <f t="shared" si="32"/>
        <v>2880.0000000000009</v>
      </c>
      <c r="N47" s="17">
        <f t="shared" si="3"/>
        <v>288.00000000000011</v>
      </c>
      <c r="O47" s="18">
        <f t="shared" si="4"/>
        <v>0</v>
      </c>
      <c r="P47" s="19">
        <f t="shared" si="5"/>
        <v>-11.999999999999886</v>
      </c>
      <c r="Q47" s="20">
        <f t="shared" si="6"/>
        <v>0.96000000000000041</v>
      </c>
      <c r="R47" s="186"/>
      <c r="S47" s="27">
        <v>0.36111111111111105</v>
      </c>
      <c r="T47" s="27">
        <v>0.43055555555555547</v>
      </c>
      <c r="U47" s="4">
        <f t="shared" si="34"/>
        <v>4.9999999999999822</v>
      </c>
      <c r="V47" s="21">
        <f t="shared" si="33"/>
        <v>99.999999999999972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8"/>
        <v>-119.99999999999909</v>
      </c>
      <c r="AF47" s="20">
        <f t="shared" si="9"/>
        <v>0.9600000000000003</v>
      </c>
      <c r="AG47" s="186"/>
    </row>
    <row r="48" spans="1:33" ht="15.75" customHeight="1">
      <c r="A48" s="183" t="s">
        <v>293</v>
      </c>
      <c r="B48" s="35" t="s">
        <v>108</v>
      </c>
      <c r="C48" s="174" t="s">
        <v>113</v>
      </c>
      <c r="D48" s="175"/>
      <c r="E48" s="35">
        <v>35.869999999999997</v>
      </c>
      <c r="F48" s="4">
        <v>4261</v>
      </c>
      <c r="G48" s="4">
        <f t="shared" si="31"/>
        <v>152842.06999999998</v>
      </c>
      <c r="H48" s="21" t="s">
        <v>133</v>
      </c>
      <c r="I48" s="15">
        <v>9</v>
      </c>
      <c r="J48" s="17">
        <v>3000</v>
      </c>
      <c r="K48" s="16">
        <f t="shared" si="1"/>
        <v>333.33333333333331</v>
      </c>
      <c r="L48" s="15">
        <v>9</v>
      </c>
      <c r="M48" s="17">
        <f t="shared" si="32"/>
        <v>2872.5842696629215</v>
      </c>
      <c r="N48" s="17">
        <f t="shared" si="3"/>
        <v>319.17602996254686</v>
      </c>
      <c r="O48" s="18">
        <f t="shared" si="4"/>
        <v>0</v>
      </c>
      <c r="P48" s="19">
        <f t="shared" si="5"/>
        <v>-14.157303370786451</v>
      </c>
      <c r="Q48" s="20">
        <f t="shared" si="6"/>
        <v>0.9575280898876406</v>
      </c>
      <c r="R48" s="186"/>
      <c r="S48" s="27">
        <v>0.43402777777777768</v>
      </c>
      <c r="T48" s="27">
        <v>0.49583333333333324</v>
      </c>
      <c r="U48" s="4">
        <f t="shared" si="34"/>
        <v>4.9999999999999822</v>
      </c>
      <c r="V48" s="21">
        <f t="shared" si="33"/>
        <v>89</v>
      </c>
      <c r="W48" s="22">
        <f>T48</f>
        <v>0.49583333333333324</v>
      </c>
      <c r="X48" s="22">
        <f>S49</f>
        <v>0.53541666666666654</v>
      </c>
      <c r="Y48" s="25"/>
      <c r="Z48" s="25"/>
      <c r="AA48" s="176"/>
      <c r="AB48" s="177"/>
      <c r="AC48" s="24"/>
      <c r="AD48" s="24"/>
      <c r="AE48" s="18">
        <f t="shared" si="8"/>
        <v>-127.41573033707846</v>
      </c>
      <c r="AF48" s="20">
        <f t="shared" si="9"/>
        <v>0.95752808988764049</v>
      </c>
      <c r="AG48" s="186"/>
    </row>
    <row r="49" spans="1:33" ht="15.75" customHeight="1">
      <c r="A49" s="183" t="s">
        <v>66</v>
      </c>
      <c r="B49" s="35" t="s">
        <v>108</v>
      </c>
      <c r="C49" s="174" t="s">
        <v>111</v>
      </c>
      <c r="D49" s="175"/>
      <c r="E49" s="35">
        <v>21.13</v>
      </c>
      <c r="F49" s="4">
        <v>1965</v>
      </c>
      <c r="G49" s="4">
        <f t="shared" si="31"/>
        <v>41520.449999999997</v>
      </c>
      <c r="H49" s="21" t="s">
        <v>133</v>
      </c>
      <c r="I49" s="15">
        <v>10</v>
      </c>
      <c r="J49" s="17">
        <v>3000</v>
      </c>
      <c r="K49" s="16">
        <f t="shared" si="1"/>
        <v>300</v>
      </c>
      <c r="L49" s="15">
        <v>10</v>
      </c>
      <c r="M49" s="17">
        <f t="shared" si="32"/>
        <v>2875.60975609756</v>
      </c>
      <c r="N49" s="17">
        <f t="shared" si="3"/>
        <v>287.56097560975599</v>
      </c>
      <c r="O49" s="18">
        <f t="shared" si="4"/>
        <v>0</v>
      </c>
      <c r="P49" s="19">
        <f t="shared" si="5"/>
        <v>-12.439024390244015</v>
      </c>
      <c r="Q49" s="20">
        <f t="shared" si="6"/>
        <v>0.95853658536585329</v>
      </c>
      <c r="R49" s="186"/>
      <c r="S49" s="27">
        <v>0.53541666666666654</v>
      </c>
      <c r="T49" s="27">
        <v>0.56388888888888877</v>
      </c>
      <c r="U49" s="4">
        <f t="shared" si="34"/>
        <v>56.999999999999957</v>
      </c>
      <c r="V49" s="21">
        <f t="shared" si="33"/>
        <v>41.000000000000014</v>
      </c>
      <c r="W49" s="22"/>
      <c r="X49" s="22"/>
      <c r="Y49" s="25"/>
      <c r="Z49" s="25"/>
      <c r="AA49" s="176"/>
      <c r="AB49" s="177"/>
      <c r="AC49" s="24"/>
      <c r="AD49" s="24"/>
      <c r="AE49" s="18">
        <f t="shared" si="8"/>
        <v>-124.39024390244003</v>
      </c>
      <c r="AF49" s="20">
        <f t="shared" si="9"/>
        <v>0.95853658536585329</v>
      </c>
      <c r="AG49" s="186"/>
    </row>
    <row r="50" spans="1:33" ht="15.75" customHeight="1">
      <c r="A50" s="183" t="s">
        <v>66</v>
      </c>
      <c r="B50" s="35" t="s">
        <v>108</v>
      </c>
      <c r="C50" s="174" t="s">
        <v>112</v>
      </c>
      <c r="D50" s="175"/>
      <c r="E50" s="35">
        <v>27.17</v>
      </c>
      <c r="F50" s="4">
        <v>2622</v>
      </c>
      <c r="G50" s="4">
        <f t="shared" si="31"/>
        <v>71239.740000000005</v>
      </c>
      <c r="H50" s="21" t="s">
        <v>133</v>
      </c>
      <c r="I50" s="15">
        <v>10</v>
      </c>
      <c r="J50" s="17">
        <v>3000</v>
      </c>
      <c r="K50" s="16">
        <f t="shared" si="1"/>
        <v>300</v>
      </c>
      <c r="L50" s="15">
        <v>10</v>
      </c>
      <c r="M50" s="17">
        <f t="shared" si="32"/>
        <v>2860.3636363636379</v>
      </c>
      <c r="N50" s="17">
        <f t="shared" si="3"/>
        <v>286.03636363636377</v>
      </c>
      <c r="O50" s="18">
        <f t="shared" si="4"/>
        <v>0</v>
      </c>
      <c r="P50" s="19">
        <f t="shared" si="5"/>
        <v>-13.963636363636226</v>
      </c>
      <c r="Q50" s="20">
        <f t="shared" si="6"/>
        <v>0.95345454545454589</v>
      </c>
      <c r="R50" s="186"/>
      <c r="S50" s="27">
        <v>0.56736111111111098</v>
      </c>
      <c r="T50" s="27">
        <v>0.6055555555555554</v>
      </c>
      <c r="U50" s="4">
        <f t="shared" si="34"/>
        <v>4.9999999999999822</v>
      </c>
      <c r="V50" s="21">
        <f t="shared" si="33"/>
        <v>54.999999999999964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8"/>
        <v>-139.63636363636215</v>
      </c>
      <c r="AF50" s="20">
        <f t="shared" si="9"/>
        <v>0.953454545454546</v>
      </c>
      <c r="AG50" s="186"/>
    </row>
    <row r="51" spans="1:33" ht="15.75" customHeight="1">
      <c r="A51" s="184" t="s">
        <v>66</v>
      </c>
      <c r="B51" s="35" t="s">
        <v>48</v>
      </c>
      <c r="C51" s="164"/>
      <c r="D51" s="165"/>
      <c r="E51" s="37"/>
      <c r="F51" s="4"/>
      <c r="G51" s="4"/>
      <c r="H51" s="4"/>
      <c r="I51" s="29">
        <v>9.8571428571428577</v>
      </c>
      <c r="J51" s="17">
        <v>3000</v>
      </c>
      <c r="K51" s="16">
        <f t="shared" si="1"/>
        <v>304.3478260869565</v>
      </c>
      <c r="L51" s="29">
        <v>9.8571428571428577</v>
      </c>
      <c r="M51" s="17">
        <f>AVERAGE(M44:M50)</f>
        <v>2875.9944310556498</v>
      </c>
      <c r="N51" s="16">
        <f t="shared" si="3"/>
        <v>291.76755097666012</v>
      </c>
      <c r="O51" s="18">
        <f t="shared" si="4"/>
        <v>0</v>
      </c>
      <c r="P51" s="19">
        <f t="shared" si="5"/>
        <v>-12.580275110296384</v>
      </c>
      <c r="Q51" s="20">
        <f t="shared" si="6"/>
        <v>0.95866481035188333</v>
      </c>
      <c r="R51" s="187"/>
      <c r="S51" s="27"/>
      <c r="T51" s="27"/>
      <c r="U51" s="4"/>
      <c r="V51" s="21"/>
      <c r="W51" s="22"/>
      <c r="X51" s="22"/>
      <c r="Y51" s="30">
        <f>SUM(Y44:Y50)</f>
        <v>0</v>
      </c>
      <c r="Z51" s="30">
        <f>SUM(Z44:Z50)</f>
        <v>0</v>
      </c>
      <c r="AA51" s="180"/>
      <c r="AB51" s="181"/>
      <c r="AC51" s="30">
        <v>7</v>
      </c>
      <c r="AD51" s="30">
        <f>SUM(AD44:AD50)</f>
        <v>0</v>
      </c>
      <c r="AE51" s="18">
        <f t="shared" si="8"/>
        <v>-124.00556894435022</v>
      </c>
      <c r="AF51" s="20">
        <f t="shared" si="9"/>
        <v>0.95866481035188322</v>
      </c>
      <c r="AG51" s="187"/>
    </row>
    <row r="52" spans="1:33" ht="15.75" customHeight="1">
      <c r="A52" s="178" t="s">
        <v>73</v>
      </c>
      <c r="B52" s="35" t="s">
        <v>84</v>
      </c>
      <c r="C52" s="163" t="s">
        <v>114</v>
      </c>
      <c r="D52" s="163"/>
      <c r="E52" s="35">
        <v>46</v>
      </c>
      <c r="F52" s="38">
        <v>1886</v>
      </c>
      <c r="G52" s="4">
        <f t="shared" ref="G52:G60" si="35">E52*F52</f>
        <v>86756</v>
      </c>
      <c r="H52" s="21" t="s">
        <v>133</v>
      </c>
      <c r="I52" s="15">
        <v>17</v>
      </c>
      <c r="J52" s="17">
        <v>2000</v>
      </c>
      <c r="K52" s="16">
        <f t="shared" si="1"/>
        <v>117.64705882352941</v>
      </c>
      <c r="L52" s="15">
        <v>17</v>
      </c>
      <c r="M52" s="17">
        <f t="shared" ref="M52:M60" si="36">F52/V52*60</f>
        <v>1917.9661016949156</v>
      </c>
      <c r="N52" s="17">
        <f t="shared" si="3"/>
        <v>112.82153539381856</v>
      </c>
      <c r="O52" s="18">
        <f t="shared" si="4"/>
        <v>0</v>
      </c>
      <c r="P52" s="19">
        <f t="shared" si="5"/>
        <v>-4.8255234297108416</v>
      </c>
      <c r="Q52" s="20">
        <f t="shared" si="6"/>
        <v>0.95898305084745783</v>
      </c>
      <c r="R52" s="170">
        <f>Q61</f>
        <v>0.94602431062819381</v>
      </c>
      <c r="S52" s="27">
        <v>0.20833333333333334</v>
      </c>
      <c r="T52" s="27">
        <v>0.24930555555555556</v>
      </c>
      <c r="U52" s="27"/>
      <c r="V52" s="21">
        <f t="shared" ref="V52:V60" si="37">(T52-S52)*24*60</f>
        <v>58.999999999999993</v>
      </c>
      <c r="W52" s="27"/>
      <c r="X52" s="27"/>
      <c r="Y52" s="27"/>
      <c r="Z52" s="27"/>
      <c r="AA52" s="162"/>
      <c r="AB52" s="162"/>
      <c r="AC52" s="24">
        <v>9</v>
      </c>
      <c r="AD52" s="24"/>
      <c r="AE52" s="18">
        <f t="shared" si="8"/>
        <v>-82.033898305084449</v>
      </c>
      <c r="AF52" s="20">
        <f t="shared" si="9"/>
        <v>0.95898305084745783</v>
      </c>
      <c r="AG52" s="170">
        <f>AF61</f>
        <v>0.94602431062819381</v>
      </c>
    </row>
    <row r="53" spans="1:33" ht="15.75" customHeight="1">
      <c r="A53" s="178" t="s">
        <v>294</v>
      </c>
      <c r="B53" s="35" t="s">
        <v>78</v>
      </c>
      <c r="C53" s="163" t="s">
        <v>115</v>
      </c>
      <c r="D53" s="163"/>
      <c r="E53" s="35">
        <v>56.43</v>
      </c>
      <c r="F53" s="38">
        <v>2140</v>
      </c>
      <c r="G53" s="4">
        <f t="shared" si="35"/>
        <v>120760.2</v>
      </c>
      <c r="H53" s="21" t="s">
        <v>133</v>
      </c>
      <c r="I53" s="15">
        <v>22</v>
      </c>
      <c r="J53" s="17">
        <v>2000</v>
      </c>
      <c r="K53" s="16">
        <f t="shared" si="1"/>
        <v>90.909090909090907</v>
      </c>
      <c r="L53" s="15">
        <v>22</v>
      </c>
      <c r="M53" s="17">
        <f t="shared" si="36"/>
        <v>1808.4507042253526</v>
      </c>
      <c r="N53" s="17">
        <f t="shared" si="3"/>
        <v>82.20230473751603</v>
      </c>
      <c r="O53" s="18">
        <f t="shared" si="4"/>
        <v>0</v>
      </c>
      <c r="P53" s="19">
        <f t="shared" si="5"/>
        <v>-8.7067861715748762</v>
      </c>
      <c r="Q53" s="20">
        <f t="shared" si="6"/>
        <v>0.90422535211267641</v>
      </c>
      <c r="R53" s="170"/>
      <c r="S53" s="27">
        <v>0.25416666666666665</v>
      </c>
      <c r="T53" s="27">
        <v>0.3034722222222222</v>
      </c>
      <c r="U53" s="4">
        <f t="shared" ref="U53:U60" si="38">IF(S53=TIME(17,0,0),"",(S53-T52)*24*60)</f>
        <v>6.9999999999999751</v>
      </c>
      <c r="V53" s="21">
        <f t="shared" si="37"/>
        <v>70.999999999999986</v>
      </c>
      <c r="W53" s="22"/>
      <c r="X53" s="22"/>
      <c r="Y53" s="22"/>
      <c r="Z53" s="22"/>
      <c r="AA53" s="162"/>
      <c r="AB53" s="162"/>
      <c r="AC53" s="24"/>
      <c r="AD53" s="24"/>
      <c r="AE53" s="18">
        <f t="shared" si="8"/>
        <v>-191.54929577464736</v>
      </c>
      <c r="AF53" s="20">
        <f t="shared" si="9"/>
        <v>0.90422535211267629</v>
      </c>
      <c r="AG53" s="170"/>
    </row>
    <row r="54" spans="1:33" ht="15.75" customHeight="1">
      <c r="A54" s="178" t="s">
        <v>73</v>
      </c>
      <c r="B54" s="35" t="s">
        <v>78</v>
      </c>
      <c r="C54" s="174" t="s">
        <v>116</v>
      </c>
      <c r="D54" s="175"/>
      <c r="E54" s="35">
        <v>51.75</v>
      </c>
      <c r="F54" s="38">
        <v>1644</v>
      </c>
      <c r="G54" s="4">
        <f t="shared" si="35"/>
        <v>85077</v>
      </c>
      <c r="H54" s="21" t="s">
        <v>133</v>
      </c>
      <c r="I54" s="15">
        <v>25</v>
      </c>
      <c r="J54" s="17">
        <v>2000</v>
      </c>
      <c r="K54" s="16">
        <f t="shared" si="1"/>
        <v>80</v>
      </c>
      <c r="L54" s="15">
        <v>25</v>
      </c>
      <c r="M54" s="17">
        <f t="shared" si="36"/>
        <v>1826.6666666666677</v>
      </c>
      <c r="N54" s="17">
        <f t="shared" si="3"/>
        <v>73.066666666666706</v>
      </c>
      <c r="O54" s="18">
        <f t="shared" si="4"/>
        <v>0</v>
      </c>
      <c r="P54" s="19">
        <f t="shared" si="5"/>
        <v>-6.9333333333332945</v>
      </c>
      <c r="Q54" s="20">
        <f t="shared" si="6"/>
        <v>0.91333333333333377</v>
      </c>
      <c r="R54" s="170"/>
      <c r="S54" s="27">
        <v>0.30833333333333329</v>
      </c>
      <c r="T54" s="27">
        <v>0.34583333333333327</v>
      </c>
      <c r="U54" s="4">
        <f t="shared" si="38"/>
        <v>6.9999999999999751</v>
      </c>
      <c r="V54" s="21">
        <f t="shared" si="37"/>
        <v>53.999999999999972</v>
      </c>
      <c r="W54" s="22"/>
      <c r="X54" s="22"/>
      <c r="Y54" s="25"/>
      <c r="Z54" s="25"/>
      <c r="AA54" s="162"/>
      <c r="AB54" s="162"/>
      <c r="AC54" s="24"/>
      <c r="AD54" s="24"/>
      <c r="AE54" s="18">
        <f t="shared" si="8"/>
        <v>-173.33333333333235</v>
      </c>
      <c r="AF54" s="20">
        <f t="shared" si="9"/>
        <v>0.91333333333333377</v>
      </c>
      <c r="AG54" s="170"/>
    </row>
    <row r="55" spans="1:33" ht="15.75" customHeight="1">
      <c r="A55" s="178" t="s">
        <v>295</v>
      </c>
      <c r="B55" s="35" t="s">
        <v>78</v>
      </c>
      <c r="C55" s="39" t="s">
        <v>117</v>
      </c>
      <c r="D55" s="40"/>
      <c r="E55" s="35">
        <v>54.09</v>
      </c>
      <c r="F55" s="38">
        <v>1849</v>
      </c>
      <c r="G55" s="4">
        <f t="shared" si="35"/>
        <v>100012.41</v>
      </c>
      <c r="H55" s="21" t="s">
        <v>133</v>
      </c>
      <c r="I55" s="15">
        <v>19</v>
      </c>
      <c r="J55" s="17">
        <v>2000</v>
      </c>
      <c r="K55" s="16">
        <f t="shared" si="1"/>
        <v>105.26315789473684</v>
      </c>
      <c r="L55" s="15">
        <v>19</v>
      </c>
      <c r="M55" s="17">
        <f t="shared" si="36"/>
        <v>1848.9999999999991</v>
      </c>
      <c r="N55" s="17">
        <f t="shared" si="3"/>
        <v>97.315789473684163</v>
      </c>
      <c r="O55" s="18">
        <f t="shared" si="4"/>
        <v>0</v>
      </c>
      <c r="P55" s="19">
        <f t="shared" si="5"/>
        <v>-7.9473684210526727</v>
      </c>
      <c r="Q55" s="20">
        <f t="shared" si="6"/>
        <v>0.92449999999999966</v>
      </c>
      <c r="R55" s="170"/>
      <c r="S55" s="27">
        <v>0.35138888888888881</v>
      </c>
      <c r="T55" s="27">
        <v>0.39305555555555549</v>
      </c>
      <c r="U55" s="4">
        <f t="shared" si="38"/>
        <v>7.9999999999999716</v>
      </c>
      <c r="V55" s="21">
        <f t="shared" si="37"/>
        <v>60.000000000000028</v>
      </c>
      <c r="W55" s="22"/>
      <c r="X55" s="22"/>
      <c r="Y55" s="25"/>
      <c r="Z55" s="25"/>
      <c r="AA55" s="162"/>
      <c r="AB55" s="162"/>
      <c r="AC55" s="24"/>
      <c r="AD55" s="24"/>
      <c r="AE55" s="18">
        <f t="shared" si="8"/>
        <v>-151.00000000000091</v>
      </c>
      <c r="AF55" s="20">
        <f t="shared" si="9"/>
        <v>0.92449999999999954</v>
      </c>
      <c r="AG55" s="170"/>
    </row>
    <row r="56" spans="1:33" ht="15.75" customHeight="1">
      <c r="A56" s="178" t="s">
        <v>73</v>
      </c>
      <c r="B56" s="35" t="s">
        <v>78</v>
      </c>
      <c r="C56" s="39" t="s">
        <v>118</v>
      </c>
      <c r="D56" s="40"/>
      <c r="E56" s="35">
        <v>57.73</v>
      </c>
      <c r="F56" s="38">
        <v>1265</v>
      </c>
      <c r="G56" s="4">
        <f t="shared" si="35"/>
        <v>73028.45</v>
      </c>
      <c r="H56" s="21" t="s">
        <v>133</v>
      </c>
      <c r="I56" s="15">
        <v>16</v>
      </c>
      <c r="J56" s="17">
        <v>1500</v>
      </c>
      <c r="K56" s="16">
        <f t="shared" si="1"/>
        <v>93.75</v>
      </c>
      <c r="L56" s="15">
        <v>16</v>
      </c>
      <c r="M56" s="17">
        <f t="shared" si="36"/>
        <v>1432.0754716981139</v>
      </c>
      <c r="N56" s="17">
        <f t="shared" si="3"/>
        <v>89.50471698113212</v>
      </c>
      <c r="O56" s="18">
        <f t="shared" si="4"/>
        <v>0</v>
      </c>
      <c r="P56" s="19">
        <f t="shared" si="5"/>
        <v>-4.2452830188678803</v>
      </c>
      <c r="Q56" s="20">
        <f t="shared" si="6"/>
        <v>0.95471698113207593</v>
      </c>
      <c r="R56" s="170"/>
      <c r="S56" s="27">
        <v>0.70833333333333337</v>
      </c>
      <c r="T56" s="27">
        <v>0.74513888888888891</v>
      </c>
      <c r="U56" s="4" t="str">
        <f t="shared" si="38"/>
        <v/>
      </c>
      <c r="V56" s="21">
        <f t="shared" si="37"/>
        <v>52.999999999999972</v>
      </c>
      <c r="W56" s="22"/>
      <c r="X56" s="22"/>
      <c r="Y56" s="25"/>
      <c r="Z56" s="25"/>
      <c r="AA56" s="162"/>
      <c r="AB56" s="162"/>
      <c r="AC56" s="24"/>
      <c r="AD56" s="24"/>
      <c r="AE56" s="18">
        <f t="shared" si="8"/>
        <v>-67.924528301886085</v>
      </c>
      <c r="AF56" s="20">
        <f t="shared" si="9"/>
        <v>0.95471698113207593</v>
      </c>
      <c r="AG56" s="170"/>
    </row>
    <row r="57" spans="1:33" ht="15.75" customHeight="1">
      <c r="A57" s="178" t="s">
        <v>73</v>
      </c>
      <c r="B57" s="35" t="s">
        <v>78</v>
      </c>
      <c r="C57" s="174" t="s">
        <v>119</v>
      </c>
      <c r="D57" s="175"/>
      <c r="E57" s="35">
        <v>54.29</v>
      </c>
      <c r="F57" s="38">
        <v>1581</v>
      </c>
      <c r="G57" s="4">
        <f t="shared" si="35"/>
        <v>85832.49</v>
      </c>
      <c r="H57" s="21" t="s">
        <v>133</v>
      </c>
      <c r="I57" s="15">
        <v>20</v>
      </c>
      <c r="J57" s="17">
        <v>2000</v>
      </c>
      <c r="K57" s="16">
        <f t="shared" si="1"/>
        <v>100</v>
      </c>
      <c r="L57" s="15">
        <v>20</v>
      </c>
      <c r="M57" s="17">
        <f t="shared" si="36"/>
        <v>1935.9183673469395</v>
      </c>
      <c r="N57" s="17">
        <f t="shared" si="3"/>
        <v>96.795918367346971</v>
      </c>
      <c r="O57" s="18">
        <f t="shared" si="4"/>
        <v>0</v>
      </c>
      <c r="P57" s="19">
        <f t="shared" si="5"/>
        <v>-3.204081632653029</v>
      </c>
      <c r="Q57" s="20">
        <f t="shared" si="6"/>
        <v>0.96795918367346967</v>
      </c>
      <c r="R57" s="170"/>
      <c r="S57" s="27">
        <v>0.74861111111111112</v>
      </c>
      <c r="T57" s="27">
        <v>0.78263888888888888</v>
      </c>
      <c r="U57" s="4">
        <f t="shared" si="38"/>
        <v>4.9999999999999822</v>
      </c>
      <c r="V57" s="21">
        <f t="shared" si="37"/>
        <v>48.999999999999986</v>
      </c>
      <c r="W57" s="22"/>
      <c r="X57" s="22"/>
      <c r="Y57" s="25"/>
      <c r="Z57" s="25"/>
      <c r="AA57" s="176"/>
      <c r="AB57" s="177"/>
      <c r="AC57" s="24"/>
      <c r="AD57" s="24"/>
      <c r="AE57" s="18">
        <f t="shared" si="8"/>
        <v>-64.081632653060524</v>
      </c>
      <c r="AF57" s="20">
        <f t="shared" si="9"/>
        <v>0.96795918367346978</v>
      </c>
      <c r="AG57" s="170"/>
    </row>
    <row r="58" spans="1:33" ht="15.75" customHeight="1">
      <c r="A58" s="178" t="s">
        <v>296</v>
      </c>
      <c r="B58" s="35" t="s">
        <v>78</v>
      </c>
      <c r="C58" s="174" t="s">
        <v>120</v>
      </c>
      <c r="D58" s="175"/>
      <c r="E58" s="35">
        <v>55.56</v>
      </c>
      <c r="F58" s="38">
        <v>1000</v>
      </c>
      <c r="G58" s="4">
        <f t="shared" si="35"/>
        <v>55560</v>
      </c>
      <c r="H58" s="21">
        <v>2</v>
      </c>
      <c r="I58" s="15">
        <v>17</v>
      </c>
      <c r="J58" s="17">
        <v>2000</v>
      </c>
      <c r="K58" s="16">
        <f t="shared" si="1"/>
        <v>117.64705882352941</v>
      </c>
      <c r="L58" s="15">
        <v>17</v>
      </c>
      <c r="M58" s="17">
        <f t="shared" si="36"/>
        <v>1935.483870967739</v>
      </c>
      <c r="N58" s="17">
        <f t="shared" si="3"/>
        <v>113.85199240986699</v>
      </c>
      <c r="O58" s="18">
        <f t="shared" si="4"/>
        <v>0</v>
      </c>
      <c r="P58" s="19">
        <f t="shared" si="5"/>
        <v>-3.7950664136624113</v>
      </c>
      <c r="Q58" s="20">
        <f t="shared" si="6"/>
        <v>0.96774193548386955</v>
      </c>
      <c r="R58" s="170"/>
      <c r="S58" s="27">
        <v>0.78611111111111109</v>
      </c>
      <c r="T58" s="27">
        <v>0.80763888888888891</v>
      </c>
      <c r="U58" s="4">
        <f t="shared" si="38"/>
        <v>4.9999999999999822</v>
      </c>
      <c r="V58" s="21">
        <f t="shared" si="37"/>
        <v>31.00000000000005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8"/>
        <v>-64.516129032261006</v>
      </c>
      <c r="AF58" s="20">
        <f t="shared" si="9"/>
        <v>0.96774193548386944</v>
      </c>
      <c r="AG58" s="170"/>
    </row>
    <row r="59" spans="1:33" ht="15.75" customHeight="1">
      <c r="A59" s="178" t="s">
        <v>73</v>
      </c>
      <c r="B59" s="35" t="s">
        <v>78</v>
      </c>
      <c r="C59" s="174" t="s">
        <v>121</v>
      </c>
      <c r="D59" s="175"/>
      <c r="E59" s="35">
        <v>55.32</v>
      </c>
      <c r="F59" s="38">
        <v>1643</v>
      </c>
      <c r="G59" s="4">
        <f t="shared" si="35"/>
        <v>90890.76</v>
      </c>
      <c r="H59" s="21" t="s">
        <v>133</v>
      </c>
      <c r="I59" s="15">
        <v>15</v>
      </c>
      <c r="J59" s="17">
        <v>2000</v>
      </c>
      <c r="K59" s="16">
        <f t="shared" si="1"/>
        <v>133.33333333333334</v>
      </c>
      <c r="L59" s="15">
        <v>15</v>
      </c>
      <c r="M59" s="17">
        <f t="shared" si="36"/>
        <v>1932.9411764705892</v>
      </c>
      <c r="N59" s="17">
        <f t="shared" si="3"/>
        <v>128.86274509803928</v>
      </c>
      <c r="O59" s="18">
        <f t="shared" si="4"/>
        <v>0</v>
      </c>
      <c r="P59" s="19">
        <f t="shared" si="5"/>
        <v>-4.4705882352940591</v>
      </c>
      <c r="Q59" s="20">
        <f t="shared" si="6"/>
        <v>0.96647058823529453</v>
      </c>
      <c r="R59" s="170"/>
      <c r="S59" s="27">
        <v>0.8125</v>
      </c>
      <c r="T59" s="27">
        <v>0.84791666666666665</v>
      </c>
      <c r="U59" s="4">
        <f t="shared" si="38"/>
        <v>6.9999999999999751</v>
      </c>
      <c r="V59" s="21">
        <f t="shared" si="37"/>
        <v>50.999999999999979</v>
      </c>
      <c r="W59" s="22">
        <f>T59</f>
        <v>0.84791666666666665</v>
      </c>
      <c r="X59" s="22">
        <f>S60</f>
        <v>0.8881944444444444</v>
      </c>
      <c r="Y59" s="25"/>
      <c r="Z59" s="25"/>
      <c r="AA59" s="176"/>
      <c r="AB59" s="177"/>
      <c r="AC59" s="24"/>
      <c r="AD59" s="24"/>
      <c r="AE59" s="18">
        <f t="shared" si="8"/>
        <v>-67.058823529410802</v>
      </c>
      <c r="AF59" s="20">
        <f t="shared" si="9"/>
        <v>0.96647058823529464</v>
      </c>
      <c r="AG59" s="170"/>
    </row>
    <row r="60" spans="1:33">
      <c r="A60" s="178" t="s">
        <v>73</v>
      </c>
      <c r="B60" s="35" t="s">
        <v>78</v>
      </c>
      <c r="C60" s="174" t="s">
        <v>120</v>
      </c>
      <c r="D60" s="175"/>
      <c r="E60" s="35">
        <v>55.56</v>
      </c>
      <c r="F60" s="38">
        <v>1246</v>
      </c>
      <c r="G60" s="4">
        <f t="shared" si="35"/>
        <v>69227.760000000009</v>
      </c>
      <c r="H60" s="21" t="s">
        <v>133</v>
      </c>
      <c r="I60" s="15">
        <v>17</v>
      </c>
      <c r="J60" s="17">
        <v>2000</v>
      </c>
      <c r="K60" s="16">
        <f t="shared" si="1"/>
        <v>117.64705882352941</v>
      </c>
      <c r="L60" s="15">
        <v>17</v>
      </c>
      <c r="M60" s="17">
        <f t="shared" si="36"/>
        <v>1916.9230769230758</v>
      </c>
      <c r="N60" s="17">
        <f t="shared" si="3"/>
        <v>112.76018099547504</v>
      </c>
      <c r="O60" s="18">
        <f t="shared" si="4"/>
        <v>0</v>
      </c>
      <c r="P60" s="19">
        <f t="shared" si="5"/>
        <v>-4.8868778280543665</v>
      </c>
      <c r="Q60" s="20">
        <f t="shared" si="6"/>
        <v>0.95846153846153792</v>
      </c>
      <c r="R60" s="170"/>
      <c r="S60" s="27">
        <v>0.8881944444444444</v>
      </c>
      <c r="T60" s="27">
        <v>0.91527777777777775</v>
      </c>
      <c r="U60" s="4">
        <f t="shared" si="38"/>
        <v>57.999999999999957</v>
      </c>
      <c r="V60" s="21">
        <f t="shared" si="37"/>
        <v>39.000000000000021</v>
      </c>
      <c r="W60" s="22"/>
      <c r="X60" s="22"/>
      <c r="Y60" s="25"/>
      <c r="Z60" s="25"/>
      <c r="AA60" s="176"/>
      <c r="AB60" s="177"/>
      <c r="AC60" s="24"/>
      <c r="AD60" s="24"/>
      <c r="AE60" s="18">
        <f t="shared" si="8"/>
        <v>-83.076923076924231</v>
      </c>
      <c r="AF60" s="20">
        <f t="shared" si="9"/>
        <v>0.95846153846153792</v>
      </c>
      <c r="AG60" s="170"/>
    </row>
    <row r="61" spans="1:33">
      <c r="A61" s="179" t="s">
        <v>296</v>
      </c>
      <c r="B61" s="35" t="s">
        <v>282</v>
      </c>
      <c r="C61" s="171"/>
      <c r="D61" s="171"/>
      <c r="E61" s="36"/>
      <c r="F61" s="16"/>
      <c r="G61" s="16"/>
      <c r="H61" s="4"/>
      <c r="I61" s="29">
        <v>18.666666666666668</v>
      </c>
      <c r="J61" s="17">
        <v>1944.4444444444443</v>
      </c>
      <c r="K61" s="16">
        <f t="shared" si="1"/>
        <v>104.16666666666666</v>
      </c>
      <c r="L61" s="29">
        <v>18.666666666666668</v>
      </c>
      <c r="M61" s="17">
        <f>AVERAGE(M52:M60)</f>
        <v>1839.4917151103768</v>
      </c>
      <c r="N61" s="16">
        <f t="shared" si="3"/>
        <v>98.544199023770176</v>
      </c>
      <c r="O61" s="18">
        <f t="shared" si="4"/>
        <v>0</v>
      </c>
      <c r="P61" s="19">
        <f t="shared" si="5"/>
        <v>-5.6224676428964813</v>
      </c>
      <c r="Q61" s="20">
        <f t="shared" si="6"/>
        <v>0.94602431062819381</v>
      </c>
      <c r="R61" s="170"/>
      <c r="S61" s="27"/>
      <c r="T61" s="27"/>
      <c r="U61" s="4"/>
      <c r="V61" s="21"/>
      <c r="W61" s="16"/>
      <c r="X61" s="16"/>
      <c r="Y61" s="30">
        <f>SUM(Y52:Y60)</f>
        <v>0</v>
      </c>
      <c r="Z61" s="30">
        <f>SUM(Z52:Z60)</f>
        <v>0</v>
      </c>
      <c r="AA61" s="166"/>
      <c r="AB61" s="166"/>
      <c r="AC61" s="30">
        <v>9</v>
      </c>
      <c r="AD61" s="30">
        <f>SUM(AD52:AD60)</f>
        <v>0</v>
      </c>
      <c r="AE61" s="18">
        <f>M61-J61</f>
        <v>-104.9527293340675</v>
      </c>
      <c r="AF61" s="20">
        <f t="shared" si="9"/>
        <v>0.94602431062819381</v>
      </c>
      <c r="AG61" s="170"/>
    </row>
    <row r="62" spans="1:33" ht="15.75" customHeight="1">
      <c r="A62" s="172" t="s">
        <v>297</v>
      </c>
      <c r="B62" s="4" t="s">
        <v>84</v>
      </c>
      <c r="C62" s="163" t="s">
        <v>122</v>
      </c>
      <c r="D62" s="163"/>
      <c r="E62" s="35">
        <v>26.97</v>
      </c>
      <c r="F62" s="38">
        <v>2705</v>
      </c>
      <c r="G62" s="4">
        <f t="shared" ref="G62:G67" si="39">E62*F62</f>
        <v>72953.849999999991</v>
      </c>
      <c r="H62" s="21" t="s">
        <v>133</v>
      </c>
      <c r="I62" s="15">
        <v>8</v>
      </c>
      <c r="J62" s="17">
        <v>1500</v>
      </c>
      <c r="K62" s="16">
        <f t="shared" si="1"/>
        <v>187.5</v>
      </c>
      <c r="L62" s="15">
        <v>8</v>
      </c>
      <c r="M62" s="17">
        <f t="shared" ref="M62:M67" si="40">F62/V62*60</f>
        <v>1436.2831858407087</v>
      </c>
      <c r="N62" s="16">
        <f t="shared" si="3"/>
        <v>179.53539823008859</v>
      </c>
      <c r="O62" s="18">
        <f t="shared" si="4"/>
        <v>0</v>
      </c>
      <c r="P62" s="19">
        <f t="shared" si="5"/>
        <v>-7.9646017699114111</v>
      </c>
      <c r="Q62" s="20">
        <f t="shared" si="6"/>
        <v>0.95752212389380575</v>
      </c>
      <c r="R62" s="170">
        <f>Q68</f>
        <v>0.96176688923039333</v>
      </c>
      <c r="S62" s="27">
        <v>0.20833333333333334</v>
      </c>
      <c r="T62" s="27">
        <v>0.28680555555555554</v>
      </c>
      <c r="U62" s="4"/>
      <c r="V62" s="21">
        <f t="shared" ref="V62:V67" si="41">(T62-S62)*24*60</f>
        <v>112.99999999999996</v>
      </c>
      <c r="W62" s="27"/>
      <c r="X62" s="27"/>
      <c r="Y62" s="27"/>
      <c r="Z62" s="27"/>
      <c r="AA62" s="162"/>
      <c r="AB62" s="162"/>
      <c r="AC62" s="24">
        <v>6</v>
      </c>
      <c r="AD62" s="24"/>
      <c r="AE62" s="18">
        <f t="shared" ref="AE62:AE75" si="42">M62-J62</f>
        <v>-63.716814159291289</v>
      </c>
      <c r="AF62" s="20">
        <f t="shared" si="9"/>
        <v>0.95752212389380575</v>
      </c>
      <c r="AG62" s="170">
        <f>AF68</f>
        <v>0.96176688923039333</v>
      </c>
    </row>
    <row r="63" spans="1:33" ht="15.75" customHeight="1">
      <c r="A63" s="172" t="s">
        <v>297</v>
      </c>
      <c r="B63" s="4" t="s">
        <v>84</v>
      </c>
      <c r="C63" s="163" t="s">
        <v>123</v>
      </c>
      <c r="D63" s="163"/>
      <c r="E63" s="35">
        <v>27.4</v>
      </c>
      <c r="F63" s="38">
        <v>878</v>
      </c>
      <c r="G63" s="4">
        <f t="shared" si="39"/>
        <v>24057.199999999997</v>
      </c>
      <c r="H63" s="21" t="s">
        <v>133</v>
      </c>
      <c r="I63" s="15">
        <v>10</v>
      </c>
      <c r="J63" s="17">
        <v>1500</v>
      </c>
      <c r="K63" s="16">
        <f t="shared" si="1"/>
        <v>150</v>
      </c>
      <c r="L63" s="15">
        <v>10</v>
      </c>
      <c r="M63" s="17">
        <f t="shared" si="40"/>
        <v>1463.3333333333321</v>
      </c>
      <c r="N63" s="16">
        <f t="shared" si="3"/>
        <v>146.3333333333332</v>
      </c>
      <c r="O63" s="18">
        <f t="shared" si="4"/>
        <v>0</v>
      </c>
      <c r="P63" s="19">
        <f t="shared" si="5"/>
        <v>-3.6666666666667993</v>
      </c>
      <c r="Q63" s="20">
        <f t="shared" si="6"/>
        <v>0.97555555555555462</v>
      </c>
      <c r="R63" s="170"/>
      <c r="S63" s="27">
        <v>0.29027777777777775</v>
      </c>
      <c r="T63" s="27">
        <v>0.31527777777777777</v>
      </c>
      <c r="U63" s="4">
        <f t="shared" ref="U63:U67" si="43">(S63-T62)*24*60</f>
        <v>4.9999999999999822</v>
      </c>
      <c r="V63" s="21">
        <f t="shared" si="41"/>
        <v>36.000000000000028</v>
      </c>
      <c r="W63" s="4"/>
      <c r="X63" s="4"/>
      <c r="Y63" s="4"/>
      <c r="Z63" s="4"/>
      <c r="AA63" s="162"/>
      <c r="AB63" s="162"/>
      <c r="AC63" s="24"/>
      <c r="AD63" s="24"/>
      <c r="AE63" s="18">
        <f t="shared" si="42"/>
        <v>-36.666666666667879</v>
      </c>
      <c r="AF63" s="20">
        <f t="shared" si="9"/>
        <v>0.97555555555555473</v>
      </c>
      <c r="AG63" s="170"/>
    </row>
    <row r="64" spans="1:33" ht="15.75" customHeight="1">
      <c r="A64" s="172" t="s">
        <v>297</v>
      </c>
      <c r="B64" s="4" t="s">
        <v>108</v>
      </c>
      <c r="C64" s="163" t="s">
        <v>124</v>
      </c>
      <c r="D64" s="163"/>
      <c r="E64" s="35">
        <v>31</v>
      </c>
      <c r="F64" s="38">
        <v>721</v>
      </c>
      <c r="G64" s="4">
        <f t="shared" si="39"/>
        <v>22351</v>
      </c>
      <c r="H64" s="21" t="s">
        <v>133</v>
      </c>
      <c r="I64" s="15">
        <v>13</v>
      </c>
      <c r="J64" s="17">
        <v>2000</v>
      </c>
      <c r="K64" s="16">
        <f t="shared" si="1"/>
        <v>153.84615384615384</v>
      </c>
      <c r="L64" s="15">
        <v>13</v>
      </c>
      <c r="M64" s="17">
        <f t="shared" si="40"/>
        <v>1966.3636363636365</v>
      </c>
      <c r="N64" s="16">
        <f t="shared" si="3"/>
        <v>151.25874125874128</v>
      </c>
      <c r="O64" s="18">
        <f t="shared" si="4"/>
        <v>0</v>
      </c>
      <c r="P64" s="19">
        <f t="shared" si="5"/>
        <v>-2.5874125874125582</v>
      </c>
      <c r="Q64" s="20">
        <f t="shared" si="6"/>
        <v>0.98318181818181838</v>
      </c>
      <c r="R64" s="170"/>
      <c r="S64" s="27">
        <v>0.32013888888888886</v>
      </c>
      <c r="T64" s="27">
        <v>0.33541666666666664</v>
      </c>
      <c r="U64" s="4">
        <f t="shared" si="43"/>
        <v>6.9999999999999751</v>
      </c>
      <c r="V64" s="21">
        <f t="shared" si="41"/>
        <v>22</v>
      </c>
      <c r="W64" s="4"/>
      <c r="X64" s="4"/>
      <c r="Y64" s="4"/>
      <c r="Z64" s="4"/>
      <c r="AA64" s="162"/>
      <c r="AB64" s="162"/>
      <c r="AC64" s="24"/>
      <c r="AD64" s="24"/>
      <c r="AE64" s="18">
        <f t="shared" si="42"/>
        <v>-33.636363636363512</v>
      </c>
      <c r="AF64" s="20">
        <f t="shared" si="9"/>
        <v>0.98318181818181827</v>
      </c>
      <c r="AG64" s="170"/>
    </row>
    <row r="65" spans="1:33" ht="15.75" customHeight="1">
      <c r="A65" s="172" t="s">
        <v>297</v>
      </c>
      <c r="B65" s="4" t="s">
        <v>108</v>
      </c>
      <c r="C65" s="163" t="s">
        <v>125</v>
      </c>
      <c r="D65" s="163"/>
      <c r="E65" s="35">
        <v>37.85</v>
      </c>
      <c r="F65" s="38">
        <v>2197</v>
      </c>
      <c r="G65" s="4">
        <f t="shared" si="39"/>
        <v>83156.45</v>
      </c>
      <c r="H65" s="21" t="s">
        <v>133</v>
      </c>
      <c r="I65" s="15">
        <v>12</v>
      </c>
      <c r="J65" s="17">
        <v>2000</v>
      </c>
      <c r="K65" s="16">
        <f t="shared" si="1"/>
        <v>166.66666666666666</v>
      </c>
      <c r="L65" s="15">
        <v>12</v>
      </c>
      <c r="M65" s="17">
        <f t="shared" si="40"/>
        <v>1910.4347826086955</v>
      </c>
      <c r="N65" s="16">
        <f t="shared" si="3"/>
        <v>159.20289855072463</v>
      </c>
      <c r="O65" s="18">
        <f t="shared" si="4"/>
        <v>0</v>
      </c>
      <c r="P65" s="19">
        <f t="shared" si="5"/>
        <v>-7.463768115942031</v>
      </c>
      <c r="Q65" s="20">
        <f t="shared" si="6"/>
        <v>0.9552173913043478</v>
      </c>
      <c r="R65" s="170"/>
      <c r="S65" s="27">
        <v>0.34097222222222218</v>
      </c>
      <c r="T65" s="27">
        <v>0.38888888888888884</v>
      </c>
      <c r="U65" s="4">
        <f t="shared" si="43"/>
        <v>7.9999999999999716</v>
      </c>
      <c r="V65" s="21">
        <f t="shared" si="41"/>
        <v>69</v>
      </c>
      <c r="W65" s="4"/>
      <c r="X65" s="4"/>
      <c r="Y65" s="4"/>
      <c r="Z65" s="4"/>
      <c r="AA65" s="162"/>
      <c r="AB65" s="162"/>
      <c r="AC65" s="24"/>
      <c r="AD65" s="24"/>
      <c r="AE65" s="18">
        <f t="shared" si="42"/>
        <v>-89.565217391304486</v>
      </c>
      <c r="AF65" s="20">
        <f t="shared" si="9"/>
        <v>0.9552173913043478</v>
      </c>
      <c r="AG65" s="170"/>
    </row>
    <row r="66" spans="1:33">
      <c r="A66" s="173" t="s">
        <v>298</v>
      </c>
      <c r="B66" s="4" t="s">
        <v>108</v>
      </c>
      <c r="C66" s="163" t="s">
        <v>126</v>
      </c>
      <c r="D66" s="163"/>
      <c r="E66" s="35">
        <v>34.36</v>
      </c>
      <c r="F66" s="38">
        <v>2000</v>
      </c>
      <c r="G66" s="4">
        <f t="shared" si="39"/>
        <v>68720</v>
      </c>
      <c r="H66" s="21" t="s">
        <v>133</v>
      </c>
      <c r="I66" s="15">
        <v>10</v>
      </c>
      <c r="J66" s="17">
        <v>3000</v>
      </c>
      <c r="K66" s="16">
        <f t="shared" si="1"/>
        <v>300</v>
      </c>
      <c r="L66" s="15">
        <v>10</v>
      </c>
      <c r="M66" s="17">
        <f t="shared" si="40"/>
        <v>2857.1428571428564</v>
      </c>
      <c r="N66" s="16">
        <f t="shared" si="3"/>
        <v>285.71428571428567</v>
      </c>
      <c r="O66" s="18">
        <f t="shared" si="4"/>
        <v>0</v>
      </c>
      <c r="P66" s="19">
        <f t="shared" si="5"/>
        <v>-14.285714285714334</v>
      </c>
      <c r="Q66" s="20">
        <f t="shared" si="6"/>
        <v>0.95238095238095222</v>
      </c>
      <c r="R66" s="170"/>
      <c r="S66" s="27">
        <v>0.39305555555555549</v>
      </c>
      <c r="T66" s="27">
        <v>0.42222222222222217</v>
      </c>
      <c r="U66" s="4">
        <f t="shared" si="43"/>
        <v>5.9999999999999787</v>
      </c>
      <c r="V66" s="21">
        <f t="shared" si="41"/>
        <v>42.000000000000014</v>
      </c>
      <c r="W66" s="22"/>
      <c r="X66" s="22"/>
      <c r="Y66" s="22"/>
      <c r="Z66" s="22"/>
      <c r="AA66" s="162"/>
      <c r="AB66" s="162"/>
      <c r="AC66" s="24"/>
      <c r="AD66" s="24"/>
      <c r="AE66" s="18">
        <f t="shared" si="42"/>
        <v>-142.85714285714357</v>
      </c>
      <c r="AF66" s="20">
        <f t="shared" si="9"/>
        <v>0.95238095238095211</v>
      </c>
      <c r="AG66" s="170"/>
    </row>
    <row r="67" spans="1:33" ht="15" customHeight="1">
      <c r="A67" s="173" t="s">
        <v>297</v>
      </c>
      <c r="B67" s="4" t="s">
        <v>108</v>
      </c>
      <c r="C67" s="174" t="s">
        <v>127</v>
      </c>
      <c r="D67" s="175"/>
      <c r="E67" s="35">
        <v>35.119999999999997</v>
      </c>
      <c r="F67" s="38">
        <v>6504</v>
      </c>
      <c r="G67" s="4">
        <f t="shared" si="39"/>
        <v>228420.47999999998</v>
      </c>
      <c r="H67" s="21" t="s">
        <v>133</v>
      </c>
      <c r="I67" s="15">
        <v>10</v>
      </c>
      <c r="J67" s="17">
        <v>3000</v>
      </c>
      <c r="K67" s="16">
        <f t="shared" si="1"/>
        <v>300</v>
      </c>
      <c r="L67" s="15">
        <v>10</v>
      </c>
      <c r="M67" s="17">
        <f t="shared" si="40"/>
        <v>2869.411764705882</v>
      </c>
      <c r="N67" s="16">
        <f t="shared" si="3"/>
        <v>286.94117647058818</v>
      </c>
      <c r="O67" s="18">
        <f t="shared" si="4"/>
        <v>0</v>
      </c>
      <c r="P67" s="19">
        <f t="shared" si="5"/>
        <v>-13.058823529411825</v>
      </c>
      <c r="Q67" s="20">
        <f t="shared" si="6"/>
        <v>0.95647058823529396</v>
      </c>
      <c r="R67" s="170"/>
      <c r="S67" s="27">
        <v>0.42708333333333326</v>
      </c>
      <c r="T67" s="27">
        <v>0.5215277777777777</v>
      </c>
      <c r="U67" s="4">
        <f t="shared" si="43"/>
        <v>6.9999999999999751</v>
      </c>
      <c r="V67" s="21">
        <f t="shared" si="41"/>
        <v>136</v>
      </c>
      <c r="W67" s="4"/>
      <c r="X67" s="4"/>
      <c r="Y67" s="31"/>
      <c r="Z67" s="31"/>
      <c r="AA67" s="176"/>
      <c r="AB67" s="177"/>
      <c r="AC67" s="24"/>
      <c r="AD67" s="24"/>
      <c r="AE67" s="18">
        <f t="shared" si="42"/>
        <v>-130.58823529411802</v>
      </c>
      <c r="AF67" s="20">
        <f t="shared" si="9"/>
        <v>0.95647058823529396</v>
      </c>
      <c r="AG67" s="170"/>
    </row>
    <row r="68" spans="1:33">
      <c r="A68" s="173" t="s">
        <v>297</v>
      </c>
      <c r="B68" s="35" t="s">
        <v>291</v>
      </c>
      <c r="C68" s="171"/>
      <c r="D68" s="171"/>
      <c r="E68" s="36"/>
      <c r="F68" s="16"/>
      <c r="G68" s="16"/>
      <c r="H68" s="4"/>
      <c r="I68" s="29">
        <v>10.5</v>
      </c>
      <c r="J68" s="17">
        <v>2166.6666666666665</v>
      </c>
      <c r="K68" s="16">
        <f t="shared" si="1"/>
        <v>206.34920634920633</v>
      </c>
      <c r="L68" s="29">
        <v>10.5</v>
      </c>
      <c r="M68" s="17">
        <f>AVERAGE(M62:M67)</f>
        <v>2083.8282599991853</v>
      </c>
      <c r="N68" s="16">
        <f t="shared" si="3"/>
        <v>198.4598342856367</v>
      </c>
      <c r="O68" s="18">
        <f t="shared" si="4"/>
        <v>0</v>
      </c>
      <c r="P68" s="19">
        <f t="shared" si="5"/>
        <v>-7.8893720635696241</v>
      </c>
      <c r="Q68" s="20">
        <f t="shared" si="6"/>
        <v>0.96176688923039333</v>
      </c>
      <c r="R68" s="170"/>
      <c r="S68" s="27"/>
      <c r="T68" s="27"/>
      <c r="U68" s="16"/>
      <c r="V68" s="21"/>
      <c r="W68" s="16"/>
      <c r="X68" s="16"/>
      <c r="Y68" s="30">
        <f>SUM(Y62:Y67)</f>
        <v>0</v>
      </c>
      <c r="Z68" s="30">
        <f>SUM(Z62:Z67)</f>
        <v>0</v>
      </c>
      <c r="AA68" s="166"/>
      <c r="AB68" s="166"/>
      <c r="AC68" s="30">
        <v>6</v>
      </c>
      <c r="AD68" s="30">
        <f>SUM(AD62:AD67)</f>
        <v>0</v>
      </c>
      <c r="AE68" s="18">
        <f t="shared" si="42"/>
        <v>-82.838406667481195</v>
      </c>
      <c r="AF68" s="20">
        <f t="shared" si="9"/>
        <v>0.96176688923039333</v>
      </c>
      <c r="AG68" s="170"/>
    </row>
    <row r="69" spans="1:33" ht="15.75" customHeight="1">
      <c r="A69" s="167" t="s">
        <v>75</v>
      </c>
      <c r="B69" s="4" t="s">
        <v>97</v>
      </c>
      <c r="C69" s="163" t="s">
        <v>128</v>
      </c>
      <c r="D69" s="163"/>
      <c r="E69" s="35">
        <v>20.2</v>
      </c>
      <c r="F69" s="4">
        <v>2253</v>
      </c>
      <c r="G69" s="4">
        <f t="shared" ref="G69:G74" si="44">E69*F69</f>
        <v>45510.6</v>
      </c>
      <c r="H69" s="21" t="s">
        <v>133</v>
      </c>
      <c r="I69" s="15">
        <v>19</v>
      </c>
      <c r="J69" s="17">
        <v>2400</v>
      </c>
      <c r="K69" s="16">
        <f t="shared" ref="K69:K75" si="45">J69/I69</f>
        <v>126.31578947368421</v>
      </c>
      <c r="L69" s="15">
        <v>19</v>
      </c>
      <c r="M69" s="17">
        <f t="shared" ref="M69:M74" si="46">F69/V69*60</f>
        <v>2291.1864406779664</v>
      </c>
      <c r="N69" s="16">
        <f t="shared" ref="N69:N75" si="47">M69/L69</f>
        <v>120.58876003568244</v>
      </c>
      <c r="O69" s="18">
        <f t="shared" ref="O69:O75" si="48">L69-I69</f>
        <v>0</v>
      </c>
      <c r="P69" s="19">
        <f t="shared" ref="P69:P75" si="49">N69-K69</f>
        <v>-5.7270294380017646</v>
      </c>
      <c r="Q69" s="20">
        <f t="shared" ref="Q69:Q75" si="50">N69/K69</f>
        <v>0.95466101694915273</v>
      </c>
      <c r="R69" s="170">
        <f>Q75</f>
        <v>0.9550512052928295</v>
      </c>
      <c r="S69" s="27">
        <v>0.125</v>
      </c>
      <c r="T69" s="27">
        <v>0.16597222222222222</v>
      </c>
      <c r="U69" s="27"/>
      <c r="V69" s="21">
        <f t="shared" ref="V69:V74" si="51">(T69-S69)*24*60</f>
        <v>58.999999999999993</v>
      </c>
      <c r="W69" s="22">
        <f>T69</f>
        <v>0.16597222222222222</v>
      </c>
      <c r="X69" s="22">
        <f>S70</f>
        <v>0.18680555555555556</v>
      </c>
      <c r="Y69" s="22"/>
      <c r="Z69" s="22"/>
      <c r="AA69" s="162"/>
      <c r="AB69" s="162"/>
      <c r="AC69" s="24">
        <v>6</v>
      </c>
      <c r="AD69" s="24"/>
      <c r="AE69" s="18">
        <f t="shared" si="42"/>
        <v>-108.8135593220336</v>
      </c>
      <c r="AF69" s="20">
        <f t="shared" ref="AF69:AF75" si="52">M69/J69</f>
        <v>0.95466101694915262</v>
      </c>
      <c r="AG69" s="170">
        <f>AF75</f>
        <v>0.95505120529282961</v>
      </c>
    </row>
    <row r="70" spans="1:33" ht="15.75" customHeight="1">
      <c r="A70" s="168" t="s">
        <v>299</v>
      </c>
      <c r="B70" s="4" t="s">
        <v>97</v>
      </c>
      <c r="C70" s="163" t="s">
        <v>129</v>
      </c>
      <c r="D70" s="163"/>
      <c r="E70" s="35">
        <v>24.45</v>
      </c>
      <c r="F70" s="4">
        <v>2943</v>
      </c>
      <c r="G70" s="4">
        <f t="shared" si="44"/>
        <v>71956.349999999991</v>
      </c>
      <c r="H70" s="21" t="s">
        <v>133</v>
      </c>
      <c r="I70" s="15">
        <v>20</v>
      </c>
      <c r="J70" s="17">
        <v>2400</v>
      </c>
      <c r="K70" s="16">
        <f t="shared" si="45"/>
        <v>120</v>
      </c>
      <c r="L70" s="15">
        <v>20</v>
      </c>
      <c r="M70" s="17">
        <f t="shared" si="46"/>
        <v>2293.2467532467531</v>
      </c>
      <c r="N70" s="16">
        <f t="shared" si="47"/>
        <v>114.66233766233765</v>
      </c>
      <c r="O70" s="18">
        <f t="shared" si="48"/>
        <v>0</v>
      </c>
      <c r="P70" s="19">
        <f t="shared" si="49"/>
        <v>-5.3376623376623513</v>
      </c>
      <c r="Q70" s="20">
        <f t="shared" si="50"/>
        <v>0.95551948051948044</v>
      </c>
      <c r="R70" s="170"/>
      <c r="S70" s="27">
        <v>0.18680555555555556</v>
      </c>
      <c r="T70" s="27">
        <v>0.24027777777777778</v>
      </c>
      <c r="U70" s="4">
        <f t="shared" ref="U70:U74" si="53">(S70-T69)*24*60</f>
        <v>30.000000000000014</v>
      </c>
      <c r="V70" s="21">
        <f t="shared" si="51"/>
        <v>77</v>
      </c>
      <c r="W70" s="22"/>
      <c r="X70" s="22"/>
      <c r="Y70" s="22"/>
      <c r="Z70" s="22"/>
      <c r="AA70" s="162"/>
      <c r="AB70" s="162"/>
      <c r="AC70" s="24"/>
      <c r="AD70" s="24"/>
      <c r="AE70" s="18">
        <f t="shared" si="42"/>
        <v>-106.75324675324691</v>
      </c>
      <c r="AF70" s="20">
        <f t="shared" si="52"/>
        <v>0.95551948051948044</v>
      </c>
      <c r="AG70" s="170"/>
    </row>
    <row r="71" spans="1:33" ht="15.75" customHeight="1">
      <c r="A71" s="168" t="s">
        <v>75</v>
      </c>
      <c r="B71" s="4" t="s">
        <v>97</v>
      </c>
      <c r="C71" s="163" t="s">
        <v>130</v>
      </c>
      <c r="D71" s="163"/>
      <c r="E71" s="35">
        <v>24.43</v>
      </c>
      <c r="F71" s="4">
        <v>7163</v>
      </c>
      <c r="G71" s="4">
        <f t="shared" si="44"/>
        <v>174992.09</v>
      </c>
      <c r="H71" s="21" t="s">
        <v>133</v>
      </c>
      <c r="I71" s="15">
        <v>14</v>
      </c>
      <c r="J71" s="17">
        <v>2400</v>
      </c>
      <c r="K71" s="16">
        <f t="shared" si="45"/>
        <v>171.42857142857142</v>
      </c>
      <c r="L71" s="15">
        <v>14</v>
      </c>
      <c r="M71" s="17">
        <f t="shared" si="46"/>
        <v>2286.0638297872347</v>
      </c>
      <c r="N71" s="16">
        <f t="shared" si="47"/>
        <v>163.29027355623106</v>
      </c>
      <c r="O71" s="18">
        <f t="shared" si="48"/>
        <v>0</v>
      </c>
      <c r="P71" s="19">
        <f t="shared" si="49"/>
        <v>-8.1382978723403596</v>
      </c>
      <c r="Q71" s="20">
        <f t="shared" si="50"/>
        <v>0.95252659574468124</v>
      </c>
      <c r="R71" s="170"/>
      <c r="S71" s="27">
        <v>0.24444444444444446</v>
      </c>
      <c r="T71" s="27">
        <v>0.375</v>
      </c>
      <c r="U71" s="4">
        <f t="shared" si="53"/>
        <v>6.0000000000000187</v>
      </c>
      <c r="V71" s="21">
        <f t="shared" si="51"/>
        <v>187.99999999999997</v>
      </c>
      <c r="W71" s="22"/>
      <c r="X71" s="22"/>
      <c r="Y71" s="22"/>
      <c r="Z71" s="22"/>
      <c r="AA71" s="162"/>
      <c r="AB71" s="162"/>
      <c r="AC71" s="24"/>
      <c r="AD71" s="24"/>
      <c r="AE71" s="18">
        <f t="shared" si="42"/>
        <v>-113.93617021276532</v>
      </c>
      <c r="AF71" s="20">
        <f t="shared" si="52"/>
        <v>0.95252659574468113</v>
      </c>
      <c r="AG71" s="170"/>
    </row>
    <row r="72" spans="1:33" ht="15.75" customHeight="1">
      <c r="A72" s="168" t="s">
        <v>300</v>
      </c>
      <c r="B72" s="4" t="s">
        <v>97</v>
      </c>
      <c r="C72" s="163" t="s">
        <v>131</v>
      </c>
      <c r="D72" s="163"/>
      <c r="E72" s="35">
        <v>22.69</v>
      </c>
      <c r="F72" s="4">
        <v>877</v>
      </c>
      <c r="G72" s="4">
        <f t="shared" si="44"/>
        <v>19899.13</v>
      </c>
      <c r="H72" s="21" t="s">
        <v>133</v>
      </c>
      <c r="I72" s="15">
        <v>15</v>
      </c>
      <c r="J72" s="17">
        <v>2400</v>
      </c>
      <c r="K72" s="16">
        <f t="shared" si="45"/>
        <v>160</v>
      </c>
      <c r="L72" s="15">
        <v>15</v>
      </c>
      <c r="M72" s="17">
        <f t="shared" si="46"/>
        <v>2287.8260869565215</v>
      </c>
      <c r="N72" s="16">
        <f t="shared" si="47"/>
        <v>152.52173913043478</v>
      </c>
      <c r="O72" s="18">
        <f t="shared" si="48"/>
        <v>0</v>
      </c>
      <c r="P72" s="19">
        <f t="shared" si="49"/>
        <v>-7.4782608695652186</v>
      </c>
      <c r="Q72" s="20">
        <f t="shared" si="50"/>
        <v>0.95326086956521738</v>
      </c>
      <c r="R72" s="170"/>
      <c r="S72" s="27">
        <v>0.37916666666666665</v>
      </c>
      <c r="T72" s="27">
        <v>0.39513888888888887</v>
      </c>
      <c r="U72" s="4">
        <f t="shared" si="53"/>
        <v>5.9999999999999787</v>
      </c>
      <c r="V72" s="21">
        <f t="shared" si="51"/>
        <v>23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42"/>
        <v>-112.17391304347848</v>
      </c>
      <c r="AF72" s="20">
        <f t="shared" si="52"/>
        <v>0.95326086956521727</v>
      </c>
      <c r="AG72" s="170"/>
    </row>
    <row r="73" spans="1:33" ht="15.75" customHeight="1">
      <c r="A73" s="168" t="s">
        <v>299</v>
      </c>
      <c r="B73" s="4" t="s">
        <v>97</v>
      </c>
      <c r="C73" s="163" t="s">
        <v>132</v>
      </c>
      <c r="D73" s="163"/>
      <c r="E73" s="35">
        <v>19.02</v>
      </c>
      <c r="F73" s="4">
        <v>6300</v>
      </c>
      <c r="G73" s="4">
        <f t="shared" si="44"/>
        <v>119826</v>
      </c>
      <c r="H73" s="21">
        <v>2</v>
      </c>
      <c r="I73" s="15">
        <v>15</v>
      </c>
      <c r="J73" s="17">
        <v>2400</v>
      </c>
      <c r="K73" s="16">
        <f t="shared" si="45"/>
        <v>160</v>
      </c>
      <c r="L73" s="15">
        <v>15</v>
      </c>
      <c r="M73" s="17">
        <f t="shared" si="46"/>
        <v>2290.909090909091</v>
      </c>
      <c r="N73" s="16">
        <f t="shared" si="47"/>
        <v>152.72727272727272</v>
      </c>
      <c r="O73" s="18">
        <f t="shared" si="48"/>
        <v>0</v>
      </c>
      <c r="P73" s="19">
        <f t="shared" si="49"/>
        <v>-7.2727272727272805</v>
      </c>
      <c r="Q73" s="20">
        <f t="shared" si="50"/>
        <v>0.95454545454545447</v>
      </c>
      <c r="R73" s="170"/>
      <c r="S73" s="27">
        <v>0.39861111111111108</v>
      </c>
      <c r="T73" s="27">
        <v>0.5131944444444444</v>
      </c>
      <c r="U73" s="4">
        <f t="shared" si="53"/>
        <v>4.9999999999999822</v>
      </c>
      <c r="V73" s="21">
        <f t="shared" si="51"/>
        <v>164.99999999999997</v>
      </c>
      <c r="W73" s="22">
        <f>T73</f>
        <v>0.5131944444444444</v>
      </c>
      <c r="X73" s="22">
        <f>S74</f>
        <v>0.55416666666666659</v>
      </c>
      <c r="Y73" s="22"/>
      <c r="Z73" s="22"/>
      <c r="AA73" s="162"/>
      <c r="AB73" s="162"/>
      <c r="AC73" s="24"/>
      <c r="AD73" s="24"/>
      <c r="AE73" s="18">
        <f t="shared" si="42"/>
        <v>-109.09090909090901</v>
      </c>
      <c r="AF73" s="20">
        <f t="shared" si="52"/>
        <v>0.95454545454545459</v>
      </c>
      <c r="AG73" s="170"/>
    </row>
    <row r="74" spans="1:33" ht="15.75" customHeight="1">
      <c r="A74" s="168" t="s">
        <v>301</v>
      </c>
      <c r="B74" s="4" t="s">
        <v>97</v>
      </c>
      <c r="C74" s="163" t="s">
        <v>132</v>
      </c>
      <c r="D74" s="163"/>
      <c r="E74" s="35">
        <v>19.02</v>
      </c>
      <c r="F74" s="4">
        <v>3724</v>
      </c>
      <c r="G74" s="4">
        <f t="shared" si="44"/>
        <v>70830.48</v>
      </c>
      <c r="H74" s="21" t="s">
        <v>133</v>
      </c>
      <c r="I74" s="15">
        <v>15</v>
      </c>
      <c r="J74" s="17">
        <v>2400</v>
      </c>
      <c r="K74" s="16">
        <f t="shared" si="45"/>
        <v>160</v>
      </c>
      <c r="L74" s="15">
        <v>15</v>
      </c>
      <c r="M74" s="17">
        <f t="shared" si="46"/>
        <v>2303.505154639176</v>
      </c>
      <c r="N74" s="16">
        <f t="shared" si="47"/>
        <v>153.5670103092784</v>
      </c>
      <c r="O74" s="18">
        <f t="shared" si="48"/>
        <v>0</v>
      </c>
      <c r="P74" s="19">
        <f t="shared" si="49"/>
        <v>-6.4329896907215982</v>
      </c>
      <c r="Q74" s="20">
        <f t="shared" si="50"/>
        <v>0.95979381443299006</v>
      </c>
      <c r="R74" s="170"/>
      <c r="S74" s="27">
        <v>0.55416666666666659</v>
      </c>
      <c r="T74" s="27">
        <v>0.62152777777777768</v>
      </c>
      <c r="U74" s="4">
        <f t="shared" si="53"/>
        <v>58.99999999999995</v>
      </c>
      <c r="V74" s="21">
        <f t="shared" si="51"/>
        <v>96.999999999999972</v>
      </c>
      <c r="W74" s="22"/>
      <c r="X74" s="22"/>
      <c r="Y74" s="22"/>
      <c r="Z74" s="22"/>
      <c r="AA74" s="162"/>
      <c r="AB74" s="162"/>
      <c r="AC74" s="24"/>
      <c r="AD74" s="24"/>
      <c r="AE74" s="18">
        <f t="shared" si="42"/>
        <v>-96.494845360824002</v>
      </c>
      <c r="AF74" s="20">
        <f t="shared" si="52"/>
        <v>0.95979381443298994</v>
      </c>
      <c r="AG74" s="170"/>
    </row>
    <row r="75" spans="1:33" ht="16.5" customHeight="1">
      <c r="A75" s="169" t="s">
        <v>302</v>
      </c>
      <c r="B75" s="35" t="s">
        <v>48</v>
      </c>
      <c r="C75" s="164"/>
      <c r="D75" s="165"/>
      <c r="E75" s="36"/>
      <c r="F75" s="16"/>
      <c r="G75" s="16"/>
      <c r="H75" s="4"/>
      <c r="I75" s="29">
        <v>16.333333333333332</v>
      </c>
      <c r="J75" s="17">
        <v>2400</v>
      </c>
      <c r="K75" s="16">
        <f t="shared" si="45"/>
        <v>146.9387755102041</v>
      </c>
      <c r="L75" s="29">
        <v>16.333333333333332</v>
      </c>
      <c r="M75" s="17">
        <f>AVERAGE(M69:M74)</f>
        <v>2292.122892702791</v>
      </c>
      <c r="N75" s="16">
        <f t="shared" si="47"/>
        <v>140.33405465527292</v>
      </c>
      <c r="O75" s="18">
        <f t="shared" si="48"/>
        <v>0</v>
      </c>
      <c r="P75" s="19">
        <f t="shared" si="49"/>
        <v>-6.6047208549311733</v>
      </c>
      <c r="Q75" s="20">
        <f t="shared" si="50"/>
        <v>0.9550512052928295</v>
      </c>
      <c r="R75" s="170"/>
      <c r="S75" s="27"/>
      <c r="T75" s="27"/>
      <c r="U75" s="16"/>
      <c r="V75" s="21"/>
      <c r="W75" s="16"/>
      <c r="X75" s="16"/>
      <c r="Y75" s="30">
        <f>SUM(Y69:Y74)</f>
        <v>0</v>
      </c>
      <c r="Z75" s="30">
        <f>SUM(Z69:Z74)</f>
        <v>0</v>
      </c>
      <c r="AA75" s="166"/>
      <c r="AB75" s="166"/>
      <c r="AC75" s="30">
        <v>6</v>
      </c>
      <c r="AD75" s="30">
        <f>SUM(AD69:AD74)</f>
        <v>0</v>
      </c>
      <c r="AE75" s="18">
        <f t="shared" si="42"/>
        <v>-107.87710729720902</v>
      </c>
      <c r="AF75" s="20">
        <f t="shared" si="52"/>
        <v>0.95505120529282961</v>
      </c>
      <c r="AG75" s="170"/>
    </row>
    <row r="76" spans="1:33">
      <c r="D76" s="41"/>
      <c r="E76" s="41"/>
    </row>
  </sheetData>
  <mergeCells count="203">
    <mergeCell ref="A69:A75"/>
    <mergeCell ref="C69:D69"/>
    <mergeCell ref="R69:R75"/>
    <mergeCell ref="AA69:AB69"/>
    <mergeCell ref="AA74:AB74"/>
    <mergeCell ref="C75:D75"/>
    <mergeCell ref="AA75:AB75"/>
    <mergeCell ref="AG69:AG75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74:D74"/>
    <mergeCell ref="A62:A68"/>
    <mergeCell ref="C62:D62"/>
    <mergeCell ref="R62:R68"/>
    <mergeCell ref="AA62:AB62"/>
    <mergeCell ref="AA67:AB67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C68:D68"/>
    <mergeCell ref="AA68:AB68"/>
    <mergeCell ref="A52:A61"/>
    <mergeCell ref="C52:D52"/>
    <mergeCell ref="R52:R61"/>
    <mergeCell ref="AA52:AB52"/>
    <mergeCell ref="AA58:AB58"/>
    <mergeCell ref="C59:D59"/>
    <mergeCell ref="AG52:AG61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AA59:AB59"/>
    <mergeCell ref="C60:D60"/>
    <mergeCell ref="AA60:AB60"/>
    <mergeCell ref="C61:D61"/>
    <mergeCell ref="AA61:AB61"/>
    <mergeCell ref="A44:A51"/>
    <mergeCell ref="C44:D44"/>
    <mergeCell ref="R44:R51"/>
    <mergeCell ref="AA44:AB44"/>
    <mergeCell ref="AA49:AB49"/>
    <mergeCell ref="AG44:AG51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C50:D50"/>
    <mergeCell ref="AA50:AB50"/>
    <mergeCell ref="C51:D51"/>
    <mergeCell ref="AA51:AB51"/>
    <mergeCell ref="A35:A43"/>
    <mergeCell ref="C35:D35"/>
    <mergeCell ref="R35:R43"/>
    <mergeCell ref="AA35:AB35"/>
    <mergeCell ref="AA40:AB40"/>
    <mergeCell ref="C41:D41"/>
    <mergeCell ref="AG35:AG43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AA41:AB41"/>
    <mergeCell ref="C42:D42"/>
    <mergeCell ref="AA42:AB42"/>
    <mergeCell ref="C43:D43"/>
    <mergeCell ref="AA43:AB43"/>
    <mergeCell ref="C31:D31"/>
    <mergeCell ref="AA31:AB31"/>
    <mergeCell ref="C32:D32"/>
    <mergeCell ref="AA32:AB32"/>
    <mergeCell ref="AA26:AB26"/>
    <mergeCell ref="A27:A34"/>
    <mergeCell ref="C27:D27"/>
    <mergeCell ref="R27:R34"/>
    <mergeCell ref="AA27:AB27"/>
    <mergeCell ref="C33:D33"/>
    <mergeCell ref="AA33:AB33"/>
    <mergeCell ref="C34:D34"/>
    <mergeCell ref="AA34:AB34"/>
    <mergeCell ref="A20:A26"/>
    <mergeCell ref="C20:D20"/>
    <mergeCell ref="R20:R26"/>
    <mergeCell ref="AA20:AB20"/>
    <mergeCell ref="AA25:AB25"/>
    <mergeCell ref="C26:D26"/>
    <mergeCell ref="A14:A19"/>
    <mergeCell ref="AG27:AG34"/>
    <mergeCell ref="C28:D28"/>
    <mergeCell ref="AA28:AB28"/>
    <mergeCell ref="C29:D29"/>
    <mergeCell ref="AA29:AB29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30:D30"/>
    <mergeCell ref="AA30:AB3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14:D14"/>
    <mergeCell ref="R14:R19"/>
    <mergeCell ref="AA14:AB14"/>
    <mergeCell ref="AG14:AG19"/>
    <mergeCell ref="C18:D18"/>
    <mergeCell ref="AA18:AB18"/>
    <mergeCell ref="C19:D19"/>
    <mergeCell ref="AA19:AB19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5">
    <cfRule type="cellIs" dxfId="18" priority="1" operator="greaterThan">
      <formula>0</formula>
    </cfRule>
  </conditionalFormatting>
  <conditionalFormatting sqref="P5:P75">
    <cfRule type="cellIs" dxfId="17" priority="4" operator="lessThan">
      <formula>0</formula>
    </cfRule>
  </conditionalFormatting>
  <conditionalFormatting sqref="Q5:Q75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R5:R11 AG5:AG11">
    <cfRule type="cellIs" dxfId="14" priority="63" operator="lessThan">
      <formula>0.8</formula>
    </cfRule>
  </conditionalFormatting>
  <conditionalFormatting sqref="AE5:AE75">
    <cfRule type="cellIs" dxfId="13" priority="17" operator="lessThan">
      <formula>0</formula>
    </cfRule>
  </conditionalFormatting>
  <conditionalFormatting sqref="AF5:AF75">
    <cfRule type="cellIs" dxfId="12" priority="16" operator="lessThan">
      <formula>0.8</formula>
    </cfRule>
    <cfRule type="cellIs" dxfId="11" priority="15" operator="greaterThan">
      <formula>1</formula>
    </cfRule>
  </conditionalFormatting>
  <conditionalFormatting sqref="AG14:AG65 R14:R75">
    <cfRule type="cellIs" dxfId="10" priority="5" operator="lessThan">
      <formula>0.8</formula>
    </cfRule>
  </conditionalFormatting>
  <dataValidations count="1">
    <dataValidation type="list" allowBlank="1" showInputMessage="1" showErrorMessage="1" sqref="AB10 AA5:AB9 AB66:AB67 AA10:AA67 AB12:AB62 AA68:AB75" xr:uid="{00000000-0002-0000-3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1:Q32"/>
  <sheetViews>
    <sheetView topLeftCell="A7" zoomScale="85" zoomScaleNormal="85" workbookViewId="0">
      <selection activeCell="G8" sqref="G8:H8"/>
    </sheetView>
  </sheetViews>
  <sheetFormatPr defaultColWidth="8.75" defaultRowHeight="15.75"/>
  <cols>
    <col min="1" max="1" width="8.75" style="44"/>
    <col min="2" max="2" width="17.875" style="44" customWidth="1"/>
    <col min="3" max="3" width="9.25" style="50" customWidth="1"/>
    <col min="4" max="13" width="12.625" style="44" customWidth="1"/>
    <col min="14" max="14" width="11" style="44" bestFit="1" customWidth="1"/>
    <col min="15" max="15" width="17.75" style="44" bestFit="1" customWidth="1"/>
    <col min="16" max="16" width="12.25" style="44" bestFit="1" customWidth="1"/>
    <col min="17" max="22" width="9.25" style="44" customWidth="1"/>
    <col min="23" max="23" width="10.75" style="44" customWidth="1"/>
    <col min="24" max="24" width="11" style="44" customWidth="1"/>
    <col min="25" max="16384" width="8.75" style="44"/>
  </cols>
  <sheetData>
    <row r="1" spans="2:17" ht="27.75" customHeight="1">
      <c r="B1" s="149" t="s">
        <v>134</v>
      </c>
      <c r="C1" s="149"/>
      <c r="D1" s="149"/>
      <c r="E1" s="149"/>
      <c r="F1" s="149"/>
      <c r="G1" s="149"/>
      <c r="H1" s="149"/>
      <c r="I1" s="149"/>
      <c r="J1" s="149"/>
      <c r="K1" s="43"/>
      <c r="L1" s="43"/>
      <c r="M1" s="43"/>
      <c r="N1" s="43"/>
      <c r="O1" s="43"/>
      <c r="P1" s="43"/>
    </row>
    <row r="2" spans="2:17" ht="27.75" customHeight="1">
      <c r="B2" s="150"/>
      <c r="C2" s="150"/>
      <c r="D2" s="150"/>
      <c r="E2" s="150"/>
      <c r="F2" s="150"/>
      <c r="G2" s="150"/>
      <c r="H2" s="150"/>
      <c r="I2" s="150"/>
      <c r="J2" s="150"/>
      <c r="K2" s="43"/>
      <c r="L2" s="43"/>
      <c r="M2" s="43"/>
      <c r="N2" s="43"/>
      <c r="O2" s="43"/>
      <c r="P2" s="43"/>
    </row>
    <row r="3" spans="2:17" ht="46.5" customHeight="1">
      <c r="B3" s="45" t="s">
        <v>135</v>
      </c>
      <c r="C3" s="151" t="str">
        <f>TEXT('0301 4度C'!A2,"yyyy.mm.ddaaaa")</f>
        <v>2026.03.01星期日</v>
      </c>
      <c r="D3" s="152"/>
      <c r="E3" s="45" t="s">
        <v>136</v>
      </c>
      <c r="F3" s="153">
        <f>'0301 4度C'!D1</f>
        <v>179664</v>
      </c>
      <c r="G3" s="154"/>
      <c r="H3" s="45" t="s">
        <v>137</v>
      </c>
      <c r="I3" s="155">
        <f>'0301 4度C'!F1</f>
        <v>6033348.5199999996</v>
      </c>
      <c r="J3" s="156"/>
      <c r="K3" s="46"/>
      <c r="L3" s="47"/>
      <c r="M3" s="47"/>
      <c r="N3" s="47"/>
    </row>
    <row r="4" spans="2:17" ht="28.5" customHeight="1">
      <c r="B4" s="157" t="s">
        <v>138</v>
      </c>
      <c r="C4" s="143" t="s">
        <v>139</v>
      </c>
      <c r="D4" s="144"/>
      <c r="E4" s="160" t="s">
        <v>140</v>
      </c>
      <c r="F4" s="161"/>
      <c r="G4" s="160" t="s">
        <v>141</v>
      </c>
      <c r="H4" s="161"/>
      <c r="I4" s="160" t="s">
        <v>142</v>
      </c>
      <c r="J4" s="161"/>
      <c r="K4" s="141" t="s">
        <v>143</v>
      </c>
      <c r="L4" s="142"/>
      <c r="M4" s="142" t="s">
        <v>144</v>
      </c>
      <c r="N4" s="142"/>
    </row>
    <row r="5" spans="2:17" ht="28.5" customHeight="1">
      <c r="B5" s="158"/>
      <c r="C5" s="143" t="s">
        <v>145</v>
      </c>
      <c r="D5" s="144"/>
      <c r="E5" s="143" t="s">
        <v>146</v>
      </c>
      <c r="F5" s="144"/>
      <c r="G5" s="145" t="s">
        <v>147</v>
      </c>
      <c r="H5" s="146"/>
      <c r="I5" s="147" t="s">
        <v>148</v>
      </c>
      <c r="J5" s="148"/>
      <c r="K5" s="48" t="s">
        <v>149</v>
      </c>
      <c r="L5" s="49" t="s">
        <v>150</v>
      </c>
      <c r="M5" s="48" t="s">
        <v>151</v>
      </c>
      <c r="N5" s="49" t="s">
        <v>152</v>
      </c>
    </row>
    <row r="6" spans="2:17" ht="28.5" customHeight="1">
      <c r="B6" s="158"/>
      <c r="C6" s="143" t="s">
        <v>153</v>
      </c>
      <c r="D6" s="144"/>
      <c r="E6" s="135">
        <f>AVERAGE(D13:M13)</f>
        <v>147.24021509606752</v>
      </c>
      <c r="F6" s="136">
        <f>AVERAGE(D31:O31,D13:J13)</f>
        <v>150.68615476594397</v>
      </c>
      <c r="G6" s="137">
        <f>AVERAGE(D13:J13)</f>
        <v>150.68615476594397</v>
      </c>
      <c r="H6" s="138"/>
      <c r="I6" s="137">
        <f>AVERAGE(K13:M13)</f>
        <v>139.1996891996892</v>
      </c>
      <c r="J6" s="138"/>
      <c r="K6" s="139">
        <f>'0301 4度C'!Y2</f>
        <v>0</v>
      </c>
      <c r="L6" s="124">
        <f>'0301 4度C'!Z2</f>
        <v>0</v>
      </c>
      <c r="M6" s="140">
        <f>'0301 4度C'!AC2</f>
        <v>64</v>
      </c>
      <c r="N6" s="124">
        <f>'0301 4度C'!AD2</f>
        <v>0</v>
      </c>
    </row>
    <row r="7" spans="2:17" ht="28.5" customHeight="1">
      <c r="B7" s="158"/>
      <c r="C7" s="125" t="s">
        <v>154</v>
      </c>
      <c r="D7" s="126"/>
      <c r="E7" s="127">
        <f>AVERAGE(D14:M14)</f>
        <v>140.92692602598015</v>
      </c>
      <c r="F7" s="128">
        <f>AVERAGE(D32:O32,D14:J14)</f>
        <v>144.27437265870122</v>
      </c>
      <c r="G7" s="129">
        <f>AVERAGE(D14:J14)</f>
        <v>144.27437265870122</v>
      </c>
      <c r="H7" s="130"/>
      <c r="I7" s="129">
        <f>AVERAGE(K14:M14)</f>
        <v>133.11621721629754</v>
      </c>
      <c r="J7" s="130"/>
      <c r="K7" s="139"/>
      <c r="L7" s="124"/>
      <c r="M7" s="140"/>
      <c r="N7" s="124"/>
    </row>
    <row r="8" spans="2:17" ht="28.5" customHeight="1">
      <c r="B8" s="159"/>
      <c r="C8" s="125" t="s">
        <v>155</v>
      </c>
      <c r="D8" s="126"/>
      <c r="E8" s="131">
        <f>AVERAGE(D15:M15)</f>
        <v>0.95643914678808117</v>
      </c>
      <c r="F8" s="132">
        <f>AVERAGE(D15:J15,D33:O33)</f>
        <v>0.95652254890610688</v>
      </c>
      <c r="G8" s="133">
        <f>AVERAGE(D15:J15)</f>
        <v>0.95652254890610688</v>
      </c>
      <c r="H8" s="134"/>
      <c r="I8" s="133">
        <f>AVERAGE(K15:M15)</f>
        <v>0.95624454184602159</v>
      </c>
      <c r="J8" s="134"/>
      <c r="K8" s="139"/>
      <c r="L8" s="124"/>
      <c r="M8" s="140"/>
      <c r="N8" s="124"/>
    </row>
    <row r="9" spans="2:17" ht="28.5" customHeight="1" thickBot="1">
      <c r="H9" s="51"/>
      <c r="K9" s="52" t="s">
        <v>156</v>
      </c>
      <c r="N9" s="47"/>
      <c r="O9" s="47"/>
      <c r="P9" s="47"/>
      <c r="Q9" s="47"/>
    </row>
    <row r="10" spans="2:17" ht="30" customHeight="1">
      <c r="B10" s="107" t="s">
        <v>157</v>
      </c>
      <c r="C10" s="108"/>
      <c r="D10" s="109" t="s">
        <v>158</v>
      </c>
      <c r="E10" s="110"/>
      <c r="F10" s="110"/>
      <c r="G10" s="110"/>
      <c r="H10" s="110"/>
      <c r="I10" s="110"/>
      <c r="J10" s="111"/>
      <c r="K10" s="112" t="s">
        <v>159</v>
      </c>
      <c r="L10" s="113"/>
      <c r="M10" s="114"/>
      <c r="P10" s="53"/>
      <c r="Q10" s="53"/>
    </row>
    <row r="11" spans="2:17" ht="17.25" customHeight="1">
      <c r="B11" s="115" t="s">
        <v>160</v>
      </c>
      <c r="C11" s="116"/>
      <c r="D11" s="54">
        <v>1</v>
      </c>
      <c r="E11" s="55">
        <v>2</v>
      </c>
      <c r="F11" s="55">
        <v>3</v>
      </c>
      <c r="G11" s="55">
        <v>4</v>
      </c>
      <c r="H11" s="55">
        <v>5</v>
      </c>
      <c r="I11" s="55">
        <v>6</v>
      </c>
      <c r="J11" s="56">
        <v>7</v>
      </c>
      <c r="K11" s="54">
        <v>1</v>
      </c>
      <c r="L11" s="55">
        <v>2</v>
      </c>
      <c r="M11" s="56">
        <v>3</v>
      </c>
      <c r="P11" s="53"/>
      <c r="Q11" s="53"/>
    </row>
    <row r="12" spans="2:17" ht="34.15" customHeight="1">
      <c r="B12" s="117"/>
      <c r="C12" s="118"/>
      <c r="D12" s="57" t="s">
        <v>161</v>
      </c>
      <c r="E12" s="58" t="s">
        <v>162</v>
      </c>
      <c r="F12" s="58" t="s">
        <v>163</v>
      </c>
      <c r="G12" s="58" t="s">
        <v>164</v>
      </c>
      <c r="H12" s="58" t="s">
        <v>165</v>
      </c>
      <c r="I12" s="58" t="s">
        <v>166</v>
      </c>
      <c r="J12" s="59" t="s">
        <v>167</v>
      </c>
      <c r="K12" s="57" t="s">
        <v>168</v>
      </c>
      <c r="L12" s="58" t="s">
        <v>169</v>
      </c>
      <c r="M12" s="59" t="s">
        <v>170</v>
      </c>
    </row>
    <row r="13" spans="2:17" ht="40.15" customHeight="1">
      <c r="B13" s="119" t="s">
        <v>171</v>
      </c>
      <c r="C13" s="60" t="s">
        <v>172</v>
      </c>
      <c r="D13" s="61">
        <f>SUMIFS('0301 4度C'!$K:$K,'0301 4度C'!$A:$A,"新豐6線",'0301 4度C'!$B:$B,"平均")</f>
        <v>112.35955056179775</v>
      </c>
      <c r="E13" s="62">
        <f>SUMIFS('0301 4度C'!$K:$K,'0301 4度C'!$A:$A,"新豐2線",'0301 4度C'!$B:$B,"平均")</f>
        <v>83.333333333333329</v>
      </c>
      <c r="F13" s="63">
        <f>SUMIFS('0301 4度C'!$K:$K,'0301 4度C'!$A:$A,"新豐5線",'0301 4度C'!$B:$B,"平均")</f>
        <v>109.19540229885058</v>
      </c>
      <c r="G13" s="63">
        <f>SUMIFS('0301 4度C'!$K:$K,'0301 4度C'!$A:$A,"新豐7線",'0301 4度C'!$B:$B,"平均")</f>
        <v>122.22222222222221</v>
      </c>
      <c r="H13" s="63">
        <f>SUMIFS('0301 4度C'!$K:$K,'0301 4度C'!$A:$A,"新豐3線",'0301 4度C'!$B:$B,"平均")</f>
        <v>304.3478260869565</v>
      </c>
      <c r="I13" s="63">
        <f>SUMIFS('0301 4度C'!$K:$K,'0301 4度C'!$A:$A,"新豐1線",'0301 4度C'!$B:$B,"平均")</f>
        <v>104.16666666666666</v>
      </c>
      <c r="J13" s="64">
        <f>SUMIFS('0301 4度C'!$K:$K,'0301 4度C'!$A:$A,"新豐10線",'0301 4度C'!$B:$B,"平均")</f>
        <v>219.17808219178082</v>
      </c>
      <c r="K13" s="65">
        <f>SUMIFS('0301 4度C'!$K:$K,'0301 4度C'!$A:$A,"新豐8線",'0301 4度C'!$B:$B,"平均")</f>
        <v>133.33333333333334</v>
      </c>
      <c r="L13" s="66">
        <f>SUMIFS('0301 4度C'!$K:$K,'0301 4度C'!$A:$A,"新豐9線",'0301 4度C'!$B:$B,"平均")</f>
        <v>134.26573426573427</v>
      </c>
      <c r="M13" s="64">
        <f>SUMIFS('0301 4度C'!$K:$K,'0301 4度C'!$A:$A,"新豐4線",'0301 4度C'!$B:$B,"平均")</f>
        <v>150</v>
      </c>
    </row>
    <row r="14" spans="2:17" ht="39.6" customHeight="1">
      <c r="B14" s="120"/>
      <c r="C14" s="67" t="s">
        <v>173</v>
      </c>
      <c r="D14" s="68">
        <f>SUMIFS('0301 4度C'!$N:$N,'0301 4度C'!$A:$A,"新豐6線",'0301 4度C'!$B:$B,"平均")</f>
        <v>108.46471016250317</v>
      </c>
      <c r="E14" s="69">
        <f>SUMIFS('0301 4度C'!$N:$N,'0301 4度C'!$A:$A,"新豐2線",'0301 4度C'!$B:$B,"平均")</f>
        <v>79.338520564763641</v>
      </c>
      <c r="F14" s="69">
        <f>SUMIFS('0301 4度C'!$N:$N,'0301 4度C'!$A:$A,"新豐5線",'0301 4度C'!$B:$B,"平均")</f>
        <v>104.45092294925445</v>
      </c>
      <c r="G14" s="69">
        <f>SUMIFS('0301 4度C'!$N:$N,'0301 4度C'!$A:$A,"新豐7線",'0301 4度C'!$B:$B,"平均")</f>
        <v>117.30384336821115</v>
      </c>
      <c r="H14" s="69">
        <f>SUMIFS('0301 4度C'!$N:$N,'0301 4度C'!$A:$A,"新豐3線",'0301 4度C'!$B:$B,"平均")</f>
        <v>291.88402524665014</v>
      </c>
      <c r="I14" s="69">
        <f>SUMIFS('0301 4度C'!$N:$N,'0301 4度C'!$A:$A,"新豐1線",'0301 4度C'!$B:$B,"平均")</f>
        <v>98.356196031622844</v>
      </c>
      <c r="J14" s="70">
        <f>SUMIFS('0301 4度C'!$N:$N,'0301 4度C'!$A:$A,"新豐10線",'0301 4度C'!$B:$B,"平均")</f>
        <v>210.12239028790324</v>
      </c>
      <c r="K14" s="71">
        <f>SUMIFS('0301 4度C'!$N:$N,'0301 4度C'!$A:$A,"新豐8線",'0301 4度C'!$B:$B,"平均")</f>
        <v>127.59230111564524</v>
      </c>
      <c r="L14" s="72">
        <f>SUMIFS('0301 4度C'!$N:$N,'0301 4度C'!$A:$A,"新豐9線",'0301 4度C'!$B:$B,"平均")</f>
        <v>128.10542542815017</v>
      </c>
      <c r="M14" s="70">
        <f>SUMIFS('0301 4度C'!$N:$N,'0301 4度C'!$A:$A,"新豐4線",'0301 4度C'!$B:$B,"平均")</f>
        <v>143.65092510509726</v>
      </c>
    </row>
    <row r="15" spans="2:17" ht="40.15" customHeight="1">
      <c r="B15" s="121"/>
      <c r="C15" s="73" t="s">
        <v>174</v>
      </c>
      <c r="D15" s="74">
        <f t="shared" ref="D15:M15" si="0">D14/D13</f>
        <v>0.96533592044627825</v>
      </c>
      <c r="E15" s="75">
        <f t="shared" si="0"/>
        <v>0.95206224677716378</v>
      </c>
      <c r="F15" s="75">
        <f t="shared" si="0"/>
        <v>0.95655055753527751</v>
      </c>
      <c r="G15" s="75">
        <f t="shared" si="0"/>
        <v>0.95975871846718219</v>
      </c>
      <c r="H15" s="75">
        <f t="shared" si="0"/>
        <v>0.95904751152470769</v>
      </c>
      <c r="I15" s="75">
        <f t="shared" si="0"/>
        <v>0.94421948190357941</v>
      </c>
      <c r="J15" s="76">
        <f t="shared" si="0"/>
        <v>0.95868340568855859</v>
      </c>
      <c r="K15" s="74">
        <f t="shared" si="0"/>
        <v>0.95694225836733926</v>
      </c>
      <c r="L15" s="75">
        <f t="shared" si="0"/>
        <v>0.95411853313674344</v>
      </c>
      <c r="M15" s="76">
        <f t="shared" si="0"/>
        <v>0.95767283403398173</v>
      </c>
    </row>
    <row r="16" spans="2:17" ht="17.25" customHeight="1">
      <c r="B16" s="122" t="s">
        <v>175</v>
      </c>
      <c r="C16" s="77" t="s">
        <v>176</v>
      </c>
      <c r="D16" s="78">
        <f>VLOOKUP("新豐6線",'0301 4度C'!$A:$T,19,0)</f>
        <v>0.70833333333333337</v>
      </c>
      <c r="E16" s="79">
        <f>VLOOKUP("新豐2線",'0301 4度C'!$A:$T,19,0)</f>
        <v>0.20833333333333334</v>
      </c>
      <c r="F16" s="79">
        <f>VLOOKUP("新豐5線",'0301 4度C'!$A:$T,19,0)</f>
        <v>0.20833333333333334</v>
      </c>
      <c r="G16" s="79">
        <f>VLOOKUP("新豐7線",'0301 4度C'!$A:$T,19,0)</f>
        <v>0.20833333333333334</v>
      </c>
      <c r="H16" s="79">
        <f>VLOOKUP("新豐3線",'0301 4度C'!$A:$T,19,0)</f>
        <v>0.20833333333333334</v>
      </c>
      <c r="I16" s="79">
        <f>VLOOKUP("新豐1線",'0301 4度C'!$A:$T,19,0)</f>
        <v>0.20833333333333334</v>
      </c>
      <c r="J16" s="80">
        <f>VLOOKUP("新豐10線",'0301 4度C'!$A:$T,19,0)</f>
        <v>0.20833333333333334</v>
      </c>
      <c r="K16" s="81">
        <f>VLOOKUP("新豐8線",'0301 4度C'!$A:$T,19,0)</f>
        <v>0.125</v>
      </c>
      <c r="L16" s="82">
        <f>VLOOKUP("新豐9線",'0301 4度C'!$A:$T,19,0)</f>
        <v>0.125</v>
      </c>
      <c r="M16" s="83">
        <f>VLOOKUP("新豐4線",'0301 4度C'!$A:$T,19,0)</f>
        <v>0.125</v>
      </c>
    </row>
    <row r="17" spans="2:13" ht="17.25" customHeight="1">
      <c r="B17" s="123"/>
      <c r="C17" s="77" t="s">
        <v>177</v>
      </c>
      <c r="D17" s="81">
        <f>LOOKUP(2,1/(('0301 4度C'!$A:$A="新豐6線")*('0301 4度C'!$T:$T&lt;&gt;"")),'0301 4度C'!$T:$T)</f>
        <v>0.8472222222222221</v>
      </c>
      <c r="E17" s="79">
        <f>LOOKUP(2,1/(('0301 4度C'!$A:$A="新豐2線")*('0301 4度C'!$T:$T&lt;&gt;"")),'0301 4度C'!$T:$T)</f>
        <v>0.54652777777777783</v>
      </c>
      <c r="F17" s="79">
        <f>LOOKUP(2,1/(('0301 4度C'!$A:$A="新豐5線")*('0301 4度C'!$T:$T&lt;&gt;"")),'0301 4度C'!$T:$T)</f>
        <v>0.92569444444444438</v>
      </c>
      <c r="G17" s="79">
        <f>LOOKUP(2,1/(('0301 4度C'!$A:$A="新豐7線")*('0301 4度C'!$T:$T&lt;&gt;"")),'0301 4度C'!$T:$T)</f>
        <v>0.92500000000000004</v>
      </c>
      <c r="H17" s="79">
        <f>LOOKUP(2,1/(('0301 4度C'!$A:$A="新豐3線")*('0301 4度C'!$T:$T&lt;&gt;"")),'0301 4度C'!$T:$T)</f>
        <v>0.63819444444444429</v>
      </c>
      <c r="I17" s="79">
        <f>LOOKUP(2,1/(('0301 4度C'!$A:$A="新豐1線")*('0301 4度C'!$T:$T&lt;&gt;"")),'0301 4度C'!$T:$T)</f>
        <v>0.93263888888888868</v>
      </c>
      <c r="J17" s="80">
        <f>LOOKUP(2,1/(('0301 4度C'!$A:$A="新豐10線")*('0301 4度C'!$T:$T&lt;&gt;"")),'0301 4度C'!$T:$T)</f>
        <v>0.57569444444444429</v>
      </c>
      <c r="K17" s="78">
        <f>LOOKUP(2,1/(('0301 4度C'!$A:$A="新豐8線")*('0301 4度C'!$T:$T&lt;&gt;"")),'0301 4度C'!$T:$T)</f>
        <v>0.72916666666666652</v>
      </c>
      <c r="L17" s="79">
        <f>LOOKUP(2,1/(('0301 4度C'!$A:$A="新豐9線")*('0301 4度C'!$T:$T&lt;&gt;"")),'0301 4度C'!$T:$T)</f>
        <v>0.71111111111111103</v>
      </c>
      <c r="M17" s="80">
        <f>LOOKUP(2,1/(('0301 4度C'!$A:$A="新豐4線")*('0301 4度C'!$T:$T&lt;&gt;"")),'0301 4度C'!$T:$T)</f>
        <v>0.68749999999999978</v>
      </c>
    </row>
    <row r="18" spans="2:13" ht="17.25" customHeight="1">
      <c r="B18" s="101" t="s">
        <v>178</v>
      </c>
      <c r="C18" s="84" t="s">
        <v>179</v>
      </c>
      <c r="D18" s="85">
        <f>SUMIFS('0301 4度C'!$Y:$Y,'0301 4度C'!$A:$A,"新豐6線",'0301 4度C'!$B:$B,"平均")</f>
        <v>0</v>
      </c>
      <c r="E18" s="86">
        <f>SUMIFS('0301 4度C'!$Y:$Y,'0301 4度C'!$A:$A,"新豐2線",'0301 4度C'!$B:$B,"平均")</f>
        <v>0</v>
      </c>
      <c r="F18" s="86">
        <f>SUMIFS('0301 4度C'!$Y:$Y,'0301 4度C'!$A:$A,"新豐5線",'0301 4度C'!$B:$B,"平均")</f>
        <v>0</v>
      </c>
      <c r="G18" s="86">
        <f>SUMIFS('0301 4度C'!$Y:$Y,'0301 4度C'!$A:$A,"新豐7線",'0301 4度C'!$B:$B,"平均")</f>
        <v>0</v>
      </c>
      <c r="H18" s="86">
        <f>SUMIFS('0301 4度C'!$Y:$Y,'0301 4度C'!$A:$A,"新豐3線",'0301 4度C'!$B:$B,"平均")</f>
        <v>0</v>
      </c>
      <c r="I18" s="86">
        <f>SUMIFS('0301 4度C'!$Y:$Y,'0301 4度C'!$A:$A,"新豐1線",'0301 4度C'!$B:$B,"平均")</f>
        <v>0</v>
      </c>
      <c r="J18" s="87">
        <f>SUMIFS('0301 4度C'!$Y:$Y,'0301 4度C'!$A:$A,"新豐10線",'0301 4度C'!$B:$B,"平均")</f>
        <v>0</v>
      </c>
      <c r="K18" s="88">
        <f>SUMIFS('0301 4度C'!$Y:$Y,'0301 4度C'!$A:$A,"新豐8線",'0301 4度C'!$B:$B,"平均")</f>
        <v>0</v>
      </c>
      <c r="L18" s="86">
        <f>SUMIFS('0301 4度C'!$Y:$Y,'0301 4度C'!$A:$A,"新豐9線",'0301 4度C'!$B:$B,"平均")</f>
        <v>0</v>
      </c>
      <c r="M18" s="87">
        <f>SUMIFS('0301 4度C'!$Y:$Y,'0301 4度C'!$A:$A,"新豐4線",'0301 4度C'!$B:$B,"平均")</f>
        <v>0</v>
      </c>
    </row>
    <row r="19" spans="2:13" ht="17.25" customHeight="1">
      <c r="B19" s="102"/>
      <c r="C19" s="84" t="s">
        <v>180</v>
      </c>
      <c r="D19" s="85">
        <f>SUMIFS('0301 4度C'!$Z:$Z,'0301 4度C'!$A:$A,"新豐6線",'0301 4度C'!$B:$B,"平均")</f>
        <v>0</v>
      </c>
      <c r="E19" s="86">
        <f>SUMIFS('0301 4度C'!$Z:$Z,'0301 4度C'!$A:$A,"新豐2線",'0301 4度C'!$B:$B,"平均")</f>
        <v>0</v>
      </c>
      <c r="F19" s="86">
        <f>SUMIFS('0301 4度C'!$Z:$Z,'0301 4度C'!$A:$A,"新豐5線",'0301 4度C'!$B:$B,"平均")</f>
        <v>0</v>
      </c>
      <c r="G19" s="86">
        <f>SUMIFS('0301 4度C'!$Z:$Z,'0301 4度C'!$A:$A,"新豐7線",'0301 4度C'!$B:$B,"平均")</f>
        <v>0</v>
      </c>
      <c r="H19" s="86">
        <f>SUMIFS('0301 4度C'!$Z:$Z,'0301 4度C'!$A:$A,"新豐3線",'0301 4度C'!$B:$B,"平均")</f>
        <v>0</v>
      </c>
      <c r="I19" s="86">
        <f>SUMIFS('0301 4度C'!$Z:$Z,'0301 4度C'!$A:$A,"新豐1線",'0301 4度C'!$B:$B,"平均")</f>
        <v>0</v>
      </c>
      <c r="J19" s="87">
        <f>SUMIFS('0301 4度C'!$Z:$Z,'0301 4度C'!$A:$A,"新豐10線",'0301 4度C'!$B:$B,"平均")</f>
        <v>0</v>
      </c>
      <c r="K19" s="88">
        <f>SUMIFS('0301 4度C'!$Z:$Z,'0301 4度C'!$A:$A,"新豐8線",'0301 4度C'!$B:$B,"平均")</f>
        <v>0</v>
      </c>
      <c r="L19" s="86">
        <f>SUMIFS('0301 4度C'!$Z:$Z,'0301 4度C'!$A:$A,"新豐9線",'0301 4度C'!$B:$B,"平均")</f>
        <v>0</v>
      </c>
      <c r="M19" s="87">
        <f>SUMIFS('0301 4度C'!$Z:$Z,'0301 4度C'!$A:$A,"新豐4線",'0301 4度C'!$B:$B,"平均")</f>
        <v>0</v>
      </c>
    </row>
    <row r="20" spans="2:13" ht="17.25" customHeight="1">
      <c r="B20" s="101" t="s">
        <v>181</v>
      </c>
      <c r="C20" s="84" t="s">
        <v>179</v>
      </c>
      <c r="D20" s="85">
        <f>SUMIFS('0301 4度C'!$AC:$AC,'0301 4度C'!$A:$A,"新豐6線",'0301 4度C'!$B:$B,"平均")</f>
        <v>5</v>
      </c>
      <c r="E20" s="86">
        <f>SUMIFS('0301 4度C'!$AC:$AC,'0301 4度C'!$A:$A,"新豐2線",'0301 4度C'!$B:$B,"平均")</f>
        <v>2</v>
      </c>
      <c r="F20" s="86">
        <f>SUMIFS('0301 4度C'!$AC:$AC,'0301 4度C'!$A:$A,"新豐5線",'0301 4度C'!$B:$B,"平均")</f>
        <v>5</v>
      </c>
      <c r="G20" s="86">
        <f>SUMIFS('0301 4度C'!$AC:$AC,'0301 4度C'!$A:$A,"新豐7線",'0301 4度C'!$B:$B,"平均")</f>
        <v>6</v>
      </c>
      <c r="H20" s="86">
        <f>SUMIFS('0301 4度C'!$AC:$AC,'0301 4度C'!$A:$A,"新豐3線",'0301 4度C'!$B:$B,"平均")</f>
        <v>7</v>
      </c>
      <c r="I20" s="86">
        <f>SUMIFS('0301 4度C'!$AC:$AC,'0301 4度C'!$A:$A,"新豐1線",'0301 4度C'!$B:$B,"平均")</f>
        <v>9</v>
      </c>
      <c r="J20" s="87">
        <f>SUMIFS('0301 4度C'!$AC:$AC,'0301 4度C'!$A:$A,"新豐10線",'0301 4度C'!$B:$B,"平均")</f>
        <v>7</v>
      </c>
      <c r="K20" s="88">
        <f>SUMIFS('0301 4度C'!$AC:$AC,'0301 4度C'!$A:$A,"新豐8線",'0301 4度C'!$B:$B,"平均")</f>
        <v>8</v>
      </c>
      <c r="L20" s="86">
        <f>SUMIFS('0301 4度C'!$AC:$AC,'0301 4度C'!$A:$A,"新豐9線",'0301 4度C'!$B:$B,"平均")</f>
        <v>8</v>
      </c>
      <c r="M20" s="87">
        <f>SUMIFS('0301 4度C'!$AC:$AC,'0301 4度C'!$A:$A,"新豐4線",'0301 4度C'!$B:$B,"平均")</f>
        <v>7</v>
      </c>
    </row>
    <row r="21" spans="2:13" ht="17.25" customHeight="1">
      <c r="B21" s="102"/>
      <c r="C21" s="84" t="s">
        <v>182</v>
      </c>
      <c r="D21" s="85">
        <f>SUMIFS('0301 4度C'!$AD:$AD,'0301 4度C'!$A:$A,"新豐6線",'0301 4度C'!$B:$B,"平均")</f>
        <v>0</v>
      </c>
      <c r="E21" s="86">
        <f>SUMIFS('0301 4度C'!$AD:$AD,'0301 4度C'!$A:$A,"新豐2線",'0301 4度C'!$B:$B,"平均")</f>
        <v>0</v>
      </c>
      <c r="F21" s="86">
        <f>SUMIFS('0301 4度C'!$AD:$AD,'0301 4度C'!$A:$A,"新豐5線",'0301 4度C'!$B:$B,"平均")</f>
        <v>0</v>
      </c>
      <c r="G21" s="86">
        <f>SUMIFS('0301 4度C'!$AD:$AD,'0301 4度C'!$A:$A,"新豐7線",'0301 4度C'!$B:$B,"平均")</f>
        <v>0</v>
      </c>
      <c r="H21" s="86">
        <f>SUMIFS('0301 4度C'!$AD:$AD,'0301 4度C'!$A:$A,"新豐3線",'0301 4度C'!$B:$B,"平均")</f>
        <v>0</v>
      </c>
      <c r="I21" s="86">
        <f>SUMIFS('0301 4度C'!$AD:$AD,'0301 4度C'!$A:$A,"新豐1線",'0301 4度C'!$B:$B,"平均")</f>
        <v>0</v>
      </c>
      <c r="J21" s="87">
        <f>SUMIFS('0301 4度C'!$AD:$AD,'0301 4度C'!$A:$A,"新豐10線",'0301 4度C'!$B:$B,"平均")</f>
        <v>0</v>
      </c>
      <c r="K21" s="88">
        <f>SUMIFS('0301 4度C'!$AD:$AD,'0301 4度C'!$A:$A,"新豐8線",'0301 4度C'!$B:$B,"平均")</f>
        <v>0</v>
      </c>
      <c r="L21" s="86">
        <f>SUMIFS('0301 4度C'!$AD:$AD,'0301 4度C'!$A:$A,"新豐9線",'0301 4度C'!$B:$B,"平均")</f>
        <v>0</v>
      </c>
      <c r="M21" s="87">
        <f>SUMIFS('0301 4度C'!$AD:$AD,'0301 4度C'!$A:$A,"新豐4線",'0301 4度C'!$B:$B,"平均")</f>
        <v>0</v>
      </c>
    </row>
    <row r="22" spans="2:13" ht="17.25" customHeight="1">
      <c r="B22" s="103" t="s">
        <v>183</v>
      </c>
      <c r="C22" s="104"/>
      <c r="D22" s="89">
        <f>SUMIFS('0301 4度C'!$I:$I,'0301 4度C'!$A:$A,"新豐6線",'0301 4度C'!$B:$B,"平均")</f>
        <v>17.8</v>
      </c>
      <c r="E22" s="90">
        <f>SUMIFS('0301 4度C'!$I:$I,'0301 4度C'!$A:$A,"新豐2線",'0301 4度C'!$B:$B,"平均")</f>
        <v>18</v>
      </c>
      <c r="F22" s="90">
        <f>SUMIFS('0301 4度C'!$I:$I,'0301 4度C'!$A:$A,"新豐5線",'0301 4度C'!$B:$B,"平均")</f>
        <v>17.399999999999999</v>
      </c>
      <c r="G22" s="90">
        <f>SUMIFS('0301 4度C'!$I:$I,'0301 4度C'!$A:$A,"新豐7線",'0301 4度C'!$B:$B,"平均")</f>
        <v>15</v>
      </c>
      <c r="H22" s="90">
        <f>SUMIFS('0301 4度C'!$I:$I,'0301 4度C'!$A:$A,"新豐3線",'0301 4度C'!$B:$B,"平均")</f>
        <v>9.8571428571428577</v>
      </c>
      <c r="I22" s="90">
        <f>SUMIFS('0301 4度C'!$I:$I,'0301 4度C'!$A:$A,"新豐1線",'0301 4度C'!$B:$B,"平均")</f>
        <v>18.666666666666668</v>
      </c>
      <c r="J22" s="91">
        <f>SUMIFS('0301 4度C'!$I:$I,'0301 4度C'!$A:$A,"新豐10線",'0301 4度C'!$B:$B,"平均")</f>
        <v>10.428571428571429</v>
      </c>
      <c r="K22" s="89">
        <f>SUMIFS('0301 4度C'!$I:$I,'0301 4度C'!$A:$A,"新豐8線",'0301 4度C'!$B:$B,"平均")</f>
        <v>18</v>
      </c>
      <c r="L22" s="90">
        <f>SUMIFS('0301 4度C'!$I:$I,'0301 4度C'!$A:$A,"新豐9線",'0301 4度C'!$B:$B,"平均")</f>
        <v>17.875</v>
      </c>
      <c r="M22" s="91">
        <f>SUMIFS('0301 4度C'!$I:$I,'0301 4度C'!$A:$A,"新豐4線",'0301 4度C'!$B:$B,"平均")</f>
        <v>16</v>
      </c>
    </row>
    <row r="23" spans="2:13" ht="17.25" customHeight="1">
      <c r="B23" s="103" t="s">
        <v>184</v>
      </c>
      <c r="C23" s="104"/>
      <c r="D23" s="92" t="s">
        <v>185</v>
      </c>
      <c r="E23" s="93" t="s">
        <v>186</v>
      </c>
      <c r="F23" s="93" t="s">
        <v>187</v>
      </c>
      <c r="G23" s="93" t="s">
        <v>187</v>
      </c>
      <c r="H23" s="93" t="s">
        <v>188</v>
      </c>
      <c r="I23" s="93" t="s">
        <v>185</v>
      </c>
      <c r="J23" s="94" t="s">
        <v>188</v>
      </c>
      <c r="K23" s="92" t="s">
        <v>189</v>
      </c>
      <c r="L23" s="93" t="s">
        <v>189</v>
      </c>
      <c r="M23" s="94" t="s">
        <v>189</v>
      </c>
    </row>
    <row r="24" spans="2:13" ht="17.25" customHeight="1">
      <c r="B24" s="103" t="s">
        <v>190</v>
      </c>
      <c r="C24" s="104"/>
      <c r="D24" s="92"/>
      <c r="E24" s="93"/>
      <c r="F24" s="93" t="s">
        <v>191</v>
      </c>
      <c r="G24" s="93" t="s">
        <v>185</v>
      </c>
      <c r="H24" s="93"/>
      <c r="I24" s="93"/>
      <c r="J24" s="94"/>
      <c r="K24" s="92"/>
      <c r="L24" s="93"/>
      <c r="M24" s="94"/>
    </row>
    <row r="25" spans="2:13" ht="17.25" customHeight="1" thickBot="1">
      <c r="B25" s="105" t="s">
        <v>192</v>
      </c>
      <c r="C25" s="106"/>
      <c r="D25" s="95"/>
      <c r="E25" s="96" t="s">
        <v>193</v>
      </c>
      <c r="F25" s="99" t="s">
        <v>194</v>
      </c>
      <c r="G25" s="100"/>
      <c r="H25" s="96" t="s">
        <v>195</v>
      </c>
      <c r="I25" s="96" t="s">
        <v>196</v>
      </c>
      <c r="J25" s="97" t="s">
        <v>195</v>
      </c>
      <c r="K25" s="98"/>
      <c r="L25" s="96"/>
      <c r="M25" s="9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工作表13">
    <pageSetUpPr fitToPage="1"/>
  </sheetPr>
  <dimension ref="A1:AG79"/>
  <sheetViews>
    <sheetView zoomScale="80" zoomScaleNormal="80" workbookViewId="0">
      <pane ySplit="4" topLeftCell="A5" activePane="bottomLeft" state="frozen"/>
      <selection activeCell="J13" sqref="J13"/>
      <selection pane="bottomLeft" activeCell="F12" sqref="F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32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0</v>
      </c>
      <c r="B1" s="1"/>
      <c r="C1" s="2" t="s">
        <v>1</v>
      </c>
      <c r="D1" s="3">
        <f>SUM(F5:F78)</f>
        <v>179664</v>
      </c>
      <c r="E1" s="4" t="s">
        <v>2</v>
      </c>
      <c r="F1" s="1">
        <f>SUM(G5:G78)</f>
        <v>6033348.5199999996</v>
      </c>
      <c r="G1" s="1" t="s">
        <v>3</v>
      </c>
      <c r="H1" s="5">
        <f>L10+L13+L52+L62+L19+L70+L35+L44+L26+L78</f>
        <v>159.02738095238095</v>
      </c>
      <c r="I1" s="212" t="s">
        <v>4</v>
      </c>
      <c r="J1" s="212"/>
      <c r="K1" s="212"/>
      <c r="L1" s="212" t="s">
        <v>5</v>
      </c>
      <c r="M1" s="212"/>
      <c r="N1" s="212"/>
      <c r="O1" s="212" t="s">
        <v>6</v>
      </c>
      <c r="P1" s="212"/>
      <c r="Q1" s="212"/>
      <c r="R1" s="212"/>
      <c r="S1" s="212" t="s">
        <v>7</v>
      </c>
      <c r="T1" s="212"/>
      <c r="U1" s="212"/>
      <c r="V1" s="212"/>
      <c r="W1" s="212"/>
      <c r="X1" s="212"/>
      <c r="Y1" s="6" t="s">
        <v>8</v>
      </c>
      <c r="Z1" s="7" t="s">
        <v>9</v>
      </c>
      <c r="AA1" s="213" t="s">
        <v>10</v>
      </c>
      <c r="AB1" s="213"/>
      <c r="AC1" s="42" t="s">
        <v>8</v>
      </c>
      <c r="AD1" s="7" t="s">
        <v>11</v>
      </c>
      <c r="AE1" s="212" t="s">
        <v>12</v>
      </c>
      <c r="AF1" s="214"/>
      <c r="AG1" s="214"/>
    </row>
    <row r="2" spans="1:33" ht="26.25" customHeight="1">
      <c r="A2" s="33">
        <v>46082</v>
      </c>
      <c r="B2" s="34" t="s">
        <v>77</v>
      </c>
      <c r="C2" s="2" t="s">
        <v>13</v>
      </c>
      <c r="D2" s="9">
        <f>AVERAGE(N10,N13,N52,N62,N19,N70,N26,N35,N44,N78)</f>
        <v>140.92692602598015</v>
      </c>
      <c r="E2" s="10" t="s">
        <v>14</v>
      </c>
      <c r="F2" s="11">
        <f>F1/D1</f>
        <v>33.58128795974708</v>
      </c>
      <c r="G2" s="1" t="s">
        <v>15</v>
      </c>
      <c r="H2" s="12">
        <f>COUNT(H5:H78)</f>
        <v>14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3">
        <f>SUM(Y10+Y13+Y19+Y26+Y35+Y44+Y52+Y62+Y70+Y78)</f>
        <v>0</v>
      </c>
      <c r="Z2" s="13">
        <f>SUM(Z10+Z13+Z19+Z26+Z35+Z44+Z52+Z62+Z70+Z78)</f>
        <v>0</v>
      </c>
      <c r="AA2" s="213"/>
      <c r="AB2" s="213"/>
      <c r="AC2" s="13">
        <v>64</v>
      </c>
      <c r="AD2" s="13">
        <f>SUM(AD10+AD13+AD19+AD26+AD35+AD44+AD52+AD62+AD70+AD78)</f>
        <v>0</v>
      </c>
      <c r="AE2" s="214"/>
      <c r="AF2" s="214"/>
      <c r="AG2" s="214"/>
    </row>
    <row r="3" spans="1:33" ht="40.5" customHeight="1">
      <c r="A3" s="162" t="s">
        <v>16</v>
      </c>
      <c r="B3" s="162" t="s">
        <v>17</v>
      </c>
      <c r="C3" s="162" t="s">
        <v>18</v>
      </c>
      <c r="D3" s="162"/>
      <c r="E3" s="210" t="s">
        <v>19</v>
      </c>
      <c r="F3" s="162" t="s">
        <v>20</v>
      </c>
      <c r="G3" s="210" t="s">
        <v>21</v>
      </c>
      <c r="H3" s="204" t="s">
        <v>22</v>
      </c>
      <c r="I3" s="202" t="s">
        <v>23</v>
      </c>
      <c r="J3" s="199" t="s">
        <v>24</v>
      </c>
      <c r="K3" s="209" t="s">
        <v>13</v>
      </c>
      <c r="L3" s="202" t="s">
        <v>23</v>
      </c>
      <c r="M3" s="199" t="s">
        <v>24</v>
      </c>
      <c r="N3" s="209" t="s">
        <v>13</v>
      </c>
      <c r="O3" s="202" t="s">
        <v>23</v>
      </c>
      <c r="P3" s="209" t="s">
        <v>13</v>
      </c>
      <c r="Q3" s="200" t="s">
        <v>25</v>
      </c>
      <c r="R3" s="178" t="s">
        <v>26</v>
      </c>
      <c r="S3" s="162" t="s">
        <v>27</v>
      </c>
      <c r="T3" s="162"/>
      <c r="U3" s="204" t="s">
        <v>28</v>
      </c>
      <c r="V3" s="204" t="s">
        <v>29</v>
      </c>
      <c r="W3" s="162" t="s">
        <v>30</v>
      </c>
      <c r="X3" s="162"/>
      <c r="Y3" s="205" t="s">
        <v>31</v>
      </c>
      <c r="Z3" s="166"/>
      <c r="AA3" s="206" t="s">
        <v>32</v>
      </c>
      <c r="AB3" s="207"/>
      <c r="AC3" s="205" t="s">
        <v>33</v>
      </c>
      <c r="AD3" s="166"/>
      <c r="AE3" s="199" t="s">
        <v>34</v>
      </c>
      <c r="AF3" s="200" t="s">
        <v>35</v>
      </c>
      <c r="AG3" s="178" t="s">
        <v>36</v>
      </c>
    </row>
    <row r="4" spans="1:33" ht="15.75" customHeight="1">
      <c r="A4" s="162"/>
      <c r="B4" s="162"/>
      <c r="C4" s="162"/>
      <c r="D4" s="162"/>
      <c r="E4" s="211"/>
      <c r="F4" s="162"/>
      <c r="G4" s="211"/>
      <c r="H4" s="204"/>
      <c r="I4" s="202"/>
      <c r="J4" s="199"/>
      <c r="K4" s="209"/>
      <c r="L4" s="202"/>
      <c r="M4" s="199"/>
      <c r="N4" s="209"/>
      <c r="O4" s="202"/>
      <c r="P4" s="209"/>
      <c r="Q4" s="200"/>
      <c r="R4" s="178"/>
      <c r="S4" s="4" t="s">
        <v>37</v>
      </c>
      <c r="T4" s="4" t="s">
        <v>38</v>
      </c>
      <c r="U4" s="204"/>
      <c r="V4" s="204"/>
      <c r="W4" s="4" t="s">
        <v>39</v>
      </c>
      <c r="X4" s="4" t="s">
        <v>40</v>
      </c>
      <c r="Y4" s="14" t="s">
        <v>41</v>
      </c>
      <c r="Z4" s="14" t="s">
        <v>42</v>
      </c>
      <c r="AA4" s="208"/>
      <c r="AB4" s="207"/>
      <c r="AC4" s="14" t="s">
        <v>43</v>
      </c>
      <c r="AD4" s="14" t="s">
        <v>44</v>
      </c>
      <c r="AE4" s="199"/>
      <c r="AF4" s="200"/>
      <c r="AG4" s="178"/>
    </row>
    <row r="5" spans="1:33">
      <c r="A5" s="201" t="s">
        <v>45</v>
      </c>
      <c r="B5" s="35" t="s">
        <v>78</v>
      </c>
      <c r="C5" s="203" t="s">
        <v>79</v>
      </c>
      <c r="D5" s="203"/>
      <c r="E5" s="35">
        <v>50.67</v>
      </c>
      <c r="F5" s="4">
        <v>1775</v>
      </c>
      <c r="G5" s="4">
        <f t="shared" ref="G5:G9" si="0">E5*F5</f>
        <v>89939.25</v>
      </c>
      <c r="H5" s="21" t="s">
        <v>133</v>
      </c>
      <c r="I5" s="15">
        <v>17</v>
      </c>
      <c r="J5" s="17">
        <v>2000</v>
      </c>
      <c r="K5" s="16">
        <f t="shared" ref="K5:K25" si="1">J5/I5</f>
        <v>117.64705882352941</v>
      </c>
      <c r="L5" s="15">
        <v>17</v>
      </c>
      <c r="M5" s="17">
        <f t="shared" ref="M5:M9" si="2">F5/V5*60</f>
        <v>1901.7857142857156</v>
      </c>
      <c r="N5" s="16">
        <f t="shared" ref="N5:N25" si="3">M5/L5</f>
        <v>111.86974789915973</v>
      </c>
      <c r="O5" s="18">
        <f t="shared" ref="O5:O25" si="4">L5-I5</f>
        <v>0</v>
      </c>
      <c r="P5" s="19">
        <f t="shared" ref="P5:P25" si="5">N5-K5</f>
        <v>-5.7773109243696723</v>
      </c>
      <c r="Q5" s="20">
        <f t="shared" ref="Q5:Q25" si="6">N5/K5</f>
        <v>0.95089285714285776</v>
      </c>
      <c r="R5" s="170">
        <f>Q10</f>
        <v>0.96533592044627825</v>
      </c>
      <c r="S5" s="27">
        <v>0.70833333333333337</v>
      </c>
      <c r="T5" s="27">
        <v>0.74722222222222223</v>
      </c>
      <c r="U5" s="4"/>
      <c r="V5" s="21">
        <f t="shared" ref="V5:V9" si="7">(T5-S5)*24*60</f>
        <v>55.999999999999957</v>
      </c>
      <c r="W5" s="22"/>
      <c r="X5" s="23"/>
      <c r="Y5" s="23"/>
      <c r="Z5" s="23"/>
      <c r="AA5" s="162"/>
      <c r="AB5" s="162"/>
      <c r="AC5" s="24">
        <v>5</v>
      </c>
      <c r="AD5" s="24"/>
      <c r="AE5" s="18">
        <f t="shared" ref="AE5:AE25" si="8">M5-J5</f>
        <v>-98.214285714284415</v>
      </c>
      <c r="AF5" s="20">
        <f t="shared" ref="AF5:AF25" si="9">M5/J5</f>
        <v>0.95089285714285776</v>
      </c>
      <c r="AG5" s="170">
        <f>AF10</f>
        <v>0.96533592044627825</v>
      </c>
    </row>
    <row r="6" spans="1:33">
      <c r="A6" s="202" t="s">
        <v>46</v>
      </c>
      <c r="B6" s="35" t="s">
        <v>78</v>
      </c>
      <c r="C6" s="203" t="s">
        <v>80</v>
      </c>
      <c r="D6" s="203"/>
      <c r="E6" s="35">
        <v>54.09</v>
      </c>
      <c r="F6" s="4">
        <v>1546</v>
      </c>
      <c r="G6" s="4">
        <f t="shared" si="0"/>
        <v>83623.14</v>
      </c>
      <c r="H6" s="21" t="s">
        <v>133</v>
      </c>
      <c r="I6" s="15">
        <v>19</v>
      </c>
      <c r="J6" s="17">
        <v>2000</v>
      </c>
      <c r="K6" s="16">
        <f t="shared" si="1"/>
        <v>105.26315789473684</v>
      </c>
      <c r="L6" s="15">
        <v>19</v>
      </c>
      <c r="M6" s="17">
        <f t="shared" si="2"/>
        <v>1932.5000000000005</v>
      </c>
      <c r="N6" s="16">
        <f t="shared" si="3"/>
        <v>101.71052631578949</v>
      </c>
      <c r="O6" s="18">
        <f t="shared" si="4"/>
        <v>0</v>
      </c>
      <c r="P6" s="19">
        <f t="shared" si="5"/>
        <v>-3.5526315789473415</v>
      </c>
      <c r="Q6" s="20">
        <f t="shared" si="6"/>
        <v>0.96625000000000028</v>
      </c>
      <c r="R6" s="170"/>
      <c r="S6" s="27">
        <v>0.75208333333333333</v>
      </c>
      <c r="T6" s="27">
        <v>0.78541666666666665</v>
      </c>
      <c r="U6" s="4">
        <f t="shared" ref="U6:U9" si="10">IF(S6=TIME(17,0,0),"",(S6-T5)*24*60)</f>
        <v>6.9999999999999751</v>
      </c>
      <c r="V6" s="21">
        <f t="shared" si="7"/>
        <v>47.999999999999986</v>
      </c>
      <c r="W6" s="22"/>
      <c r="X6" s="22"/>
      <c r="Y6" s="22"/>
      <c r="Z6" s="22"/>
      <c r="AA6" s="162"/>
      <c r="AB6" s="162"/>
      <c r="AC6" s="24"/>
      <c r="AD6" s="24"/>
      <c r="AE6" s="18">
        <f t="shared" si="8"/>
        <v>-67.499999999999545</v>
      </c>
      <c r="AF6" s="20">
        <f t="shared" si="9"/>
        <v>0.96625000000000028</v>
      </c>
      <c r="AG6" s="170"/>
    </row>
    <row r="7" spans="1:33">
      <c r="A7" s="202" t="s">
        <v>46</v>
      </c>
      <c r="B7" s="35" t="s">
        <v>78</v>
      </c>
      <c r="C7" s="197" t="s">
        <v>81</v>
      </c>
      <c r="D7" s="198"/>
      <c r="E7" s="35">
        <v>50.29</v>
      </c>
      <c r="F7" s="4">
        <v>670</v>
      </c>
      <c r="G7" s="4">
        <f t="shared" si="0"/>
        <v>33694.300000000003</v>
      </c>
      <c r="H7" s="21" t="s">
        <v>133</v>
      </c>
      <c r="I7" s="15">
        <v>16</v>
      </c>
      <c r="J7" s="17">
        <v>2000</v>
      </c>
      <c r="K7" s="16">
        <f t="shared" si="1"/>
        <v>125</v>
      </c>
      <c r="L7" s="15">
        <v>16</v>
      </c>
      <c r="M7" s="17">
        <f t="shared" si="2"/>
        <v>1914.285714285721</v>
      </c>
      <c r="N7" s="16">
        <f t="shared" si="3"/>
        <v>119.64285714285757</v>
      </c>
      <c r="O7" s="18">
        <f t="shared" si="4"/>
        <v>0</v>
      </c>
      <c r="P7" s="19">
        <f t="shared" si="5"/>
        <v>-5.3571428571424349</v>
      </c>
      <c r="Q7" s="20">
        <f t="shared" si="6"/>
        <v>0.95714285714286051</v>
      </c>
      <c r="R7" s="170"/>
      <c r="S7" s="27">
        <v>0.7895833333333333</v>
      </c>
      <c r="T7" s="27">
        <v>0.80416666666666659</v>
      </c>
      <c r="U7" s="4">
        <f t="shared" si="10"/>
        <v>5.9999999999999787</v>
      </c>
      <c r="V7" s="21">
        <f t="shared" si="7"/>
        <v>20.999999999999925</v>
      </c>
      <c r="W7" s="22"/>
      <c r="X7" s="22"/>
      <c r="Y7" s="25"/>
      <c r="Z7" s="25"/>
      <c r="AA7" s="176"/>
      <c r="AB7" s="177"/>
      <c r="AC7" s="24"/>
      <c r="AD7" s="26"/>
      <c r="AE7" s="18">
        <f t="shared" si="8"/>
        <v>-85.714285714278958</v>
      </c>
      <c r="AF7" s="20">
        <f t="shared" si="9"/>
        <v>0.95714285714286051</v>
      </c>
      <c r="AG7" s="170"/>
    </row>
    <row r="8" spans="1:33">
      <c r="A8" s="202" t="s">
        <v>47</v>
      </c>
      <c r="B8" s="35" t="s">
        <v>78</v>
      </c>
      <c r="C8" s="197" t="s">
        <v>82</v>
      </c>
      <c r="D8" s="198"/>
      <c r="E8" s="35">
        <v>50.67</v>
      </c>
      <c r="F8" s="4">
        <v>623</v>
      </c>
      <c r="G8" s="4">
        <f t="shared" si="0"/>
        <v>31567.41</v>
      </c>
      <c r="H8" s="21" t="s">
        <v>133</v>
      </c>
      <c r="I8" s="15">
        <v>21</v>
      </c>
      <c r="J8" s="17">
        <v>2000</v>
      </c>
      <c r="K8" s="16">
        <f t="shared" si="1"/>
        <v>95.238095238095241</v>
      </c>
      <c r="L8" s="15">
        <v>21</v>
      </c>
      <c r="M8" s="17">
        <f t="shared" si="2"/>
        <v>1967.3684210526385</v>
      </c>
      <c r="N8" s="16">
        <f t="shared" si="3"/>
        <v>93.684210526316122</v>
      </c>
      <c r="O8" s="18">
        <f t="shared" si="4"/>
        <v>0</v>
      </c>
      <c r="P8" s="19">
        <f t="shared" si="5"/>
        <v>-1.5538847117791192</v>
      </c>
      <c r="Q8" s="20">
        <f t="shared" si="6"/>
        <v>0.98368421052631927</v>
      </c>
      <c r="R8" s="170"/>
      <c r="S8" s="27">
        <v>0.8076388888888888</v>
      </c>
      <c r="T8" s="27">
        <v>0.82083333333333319</v>
      </c>
      <c r="U8" s="4">
        <f t="shared" si="10"/>
        <v>4.9999999999999822</v>
      </c>
      <c r="V8" s="21">
        <f t="shared" si="7"/>
        <v>18.999999999999932</v>
      </c>
      <c r="W8" s="27"/>
      <c r="X8" s="27"/>
      <c r="Y8" s="28"/>
      <c r="Z8" s="28"/>
      <c r="AA8" s="176"/>
      <c r="AB8" s="177"/>
      <c r="AC8" s="24"/>
      <c r="AD8" s="26"/>
      <c r="AE8" s="18">
        <f t="shared" si="8"/>
        <v>-32.631578947361504</v>
      </c>
      <c r="AF8" s="20">
        <f t="shared" si="9"/>
        <v>0.98368421052631927</v>
      </c>
      <c r="AG8" s="170"/>
    </row>
    <row r="9" spans="1:33">
      <c r="A9" s="202" t="s">
        <v>47</v>
      </c>
      <c r="B9" s="35" t="s">
        <v>78</v>
      </c>
      <c r="C9" s="197" t="s">
        <v>83</v>
      </c>
      <c r="D9" s="198"/>
      <c r="E9" s="35">
        <v>50.67</v>
      </c>
      <c r="F9" s="4">
        <v>1001</v>
      </c>
      <c r="G9" s="4">
        <f t="shared" si="0"/>
        <v>50720.67</v>
      </c>
      <c r="H9" s="21" t="s">
        <v>133</v>
      </c>
      <c r="I9" s="15">
        <v>16</v>
      </c>
      <c r="J9" s="17">
        <v>2000</v>
      </c>
      <c r="K9" s="16">
        <f t="shared" si="1"/>
        <v>125</v>
      </c>
      <c r="L9" s="15">
        <v>16</v>
      </c>
      <c r="M9" s="17">
        <f t="shared" si="2"/>
        <v>1937.4193548387066</v>
      </c>
      <c r="N9" s="16">
        <f t="shared" si="3"/>
        <v>121.08870967741916</v>
      </c>
      <c r="O9" s="18">
        <f t="shared" si="4"/>
        <v>0</v>
      </c>
      <c r="P9" s="19">
        <f t="shared" si="5"/>
        <v>-3.9112903225808395</v>
      </c>
      <c r="Q9" s="20">
        <f t="shared" si="6"/>
        <v>0.96870967741935332</v>
      </c>
      <c r="R9" s="170"/>
      <c r="S9" s="27">
        <v>0.82569444444444429</v>
      </c>
      <c r="T9" s="27">
        <v>0.8472222222222221</v>
      </c>
      <c r="U9" s="4">
        <f t="shared" si="10"/>
        <v>6.9999999999999751</v>
      </c>
      <c r="V9" s="21">
        <f t="shared" si="7"/>
        <v>31.00000000000005</v>
      </c>
      <c r="W9" s="22"/>
      <c r="X9" s="22"/>
      <c r="Y9" s="25"/>
      <c r="Z9" s="25"/>
      <c r="AA9" s="176"/>
      <c r="AB9" s="177"/>
      <c r="AC9" s="24"/>
      <c r="AD9" s="26"/>
      <c r="AE9" s="18">
        <f t="shared" si="8"/>
        <v>-62.580645161293432</v>
      </c>
      <c r="AF9" s="20">
        <f t="shared" si="9"/>
        <v>0.96870967741935332</v>
      </c>
      <c r="AG9" s="170"/>
    </row>
    <row r="10" spans="1:33">
      <c r="A10" s="202" t="s">
        <v>47</v>
      </c>
      <c r="B10" s="35" t="s">
        <v>48</v>
      </c>
      <c r="C10" s="171"/>
      <c r="D10" s="171"/>
      <c r="E10" s="36"/>
      <c r="F10" s="16"/>
      <c r="G10" s="16"/>
      <c r="H10" s="4"/>
      <c r="I10" s="29">
        <v>17.8</v>
      </c>
      <c r="J10" s="17">
        <v>2000</v>
      </c>
      <c r="K10" s="16">
        <f t="shared" si="1"/>
        <v>112.35955056179775</v>
      </c>
      <c r="L10" s="29">
        <v>17.8</v>
      </c>
      <c r="M10" s="17">
        <f>AVERAGE(M5:M9)</f>
        <v>1930.6718408925565</v>
      </c>
      <c r="N10" s="16">
        <f t="shared" si="3"/>
        <v>108.46471016250317</v>
      </c>
      <c r="O10" s="18">
        <f t="shared" si="4"/>
        <v>0</v>
      </c>
      <c r="P10" s="19">
        <f t="shared" si="5"/>
        <v>-3.8948403992945799</v>
      </c>
      <c r="Q10" s="20">
        <f t="shared" si="6"/>
        <v>0.96533592044627825</v>
      </c>
      <c r="R10" s="170"/>
      <c r="S10" s="27"/>
      <c r="T10" s="27"/>
      <c r="U10" s="4"/>
      <c r="V10" s="21"/>
      <c r="W10" s="16"/>
      <c r="X10" s="16"/>
      <c r="Y10" s="30">
        <f>SUM(Y5:Y9)</f>
        <v>0</v>
      </c>
      <c r="Z10" s="30">
        <f>SUM(Z5:Z9)</f>
        <v>0</v>
      </c>
      <c r="AA10" s="166"/>
      <c r="AB10" s="166"/>
      <c r="AC10" s="30">
        <v>5</v>
      </c>
      <c r="AD10" s="30">
        <f>SUM(AD5:AD9)</f>
        <v>0</v>
      </c>
      <c r="AE10" s="18">
        <f t="shared" si="8"/>
        <v>-69.328159107443525</v>
      </c>
      <c r="AF10" s="20">
        <f t="shared" si="9"/>
        <v>0.96533592044627825</v>
      </c>
      <c r="AG10" s="170"/>
    </row>
    <row r="11" spans="1:33" ht="15.75" customHeight="1">
      <c r="A11" s="196" t="s">
        <v>49</v>
      </c>
      <c r="B11" s="35" t="s">
        <v>84</v>
      </c>
      <c r="C11" s="197" t="s">
        <v>85</v>
      </c>
      <c r="D11" s="198"/>
      <c r="E11" s="35">
        <v>39.619999999999997</v>
      </c>
      <c r="F11" s="4">
        <v>4315</v>
      </c>
      <c r="G11" s="4">
        <f t="shared" ref="G11:G12" si="11">E11*F11</f>
        <v>170960.3</v>
      </c>
      <c r="H11" s="21" t="s">
        <v>133</v>
      </c>
      <c r="I11" s="15">
        <v>19</v>
      </c>
      <c r="J11" s="17">
        <v>1500</v>
      </c>
      <c r="K11" s="16">
        <f t="shared" si="1"/>
        <v>78.94736842105263</v>
      </c>
      <c r="L11" s="15">
        <v>19</v>
      </c>
      <c r="M11" s="17">
        <f t="shared" ref="M11:M12" si="12">F11/V11*60</f>
        <v>1430.3867403314912</v>
      </c>
      <c r="N11" s="16">
        <f t="shared" si="3"/>
        <v>75.283512649025852</v>
      </c>
      <c r="O11" s="18">
        <f t="shared" si="4"/>
        <v>0</v>
      </c>
      <c r="P11" s="19">
        <f t="shared" si="5"/>
        <v>-3.6638557720267784</v>
      </c>
      <c r="Q11" s="20">
        <f t="shared" si="6"/>
        <v>0.95359116022099411</v>
      </c>
      <c r="R11" s="170">
        <f>Q13</f>
        <v>0.95206224677716378</v>
      </c>
      <c r="S11" s="27">
        <v>0.20833333333333334</v>
      </c>
      <c r="T11" s="27">
        <v>0.33402777777777781</v>
      </c>
      <c r="U11" s="4"/>
      <c r="V11" s="21">
        <f t="shared" ref="V11:V12" si="13">(T11-S11)*24*60</f>
        <v>181.00000000000006</v>
      </c>
      <c r="W11" s="22"/>
      <c r="X11" s="22"/>
      <c r="Y11" s="22"/>
      <c r="Z11" s="22"/>
      <c r="AA11" s="162"/>
      <c r="AB11" s="162"/>
      <c r="AC11" s="24">
        <v>2</v>
      </c>
      <c r="AD11" s="24"/>
      <c r="AE11" s="18">
        <f t="shared" si="8"/>
        <v>-69.613259668508817</v>
      </c>
      <c r="AF11" s="20">
        <f t="shared" si="9"/>
        <v>0.95359116022099411</v>
      </c>
      <c r="AG11" s="170">
        <f>AF13</f>
        <v>0.95206224677716367</v>
      </c>
    </row>
    <row r="12" spans="1:33" ht="15.75" customHeight="1">
      <c r="A12" s="196" t="s">
        <v>49</v>
      </c>
      <c r="B12" s="35" t="s">
        <v>84</v>
      </c>
      <c r="C12" s="197" t="s">
        <v>86</v>
      </c>
      <c r="D12" s="198"/>
      <c r="E12" s="35">
        <v>39.799999999999997</v>
      </c>
      <c r="F12" s="4">
        <v>7129</v>
      </c>
      <c r="G12" s="4">
        <f t="shared" si="11"/>
        <v>283734.19999999995</v>
      </c>
      <c r="H12" s="21" t="s">
        <v>133</v>
      </c>
      <c r="I12" s="15">
        <v>17</v>
      </c>
      <c r="J12" s="17">
        <v>1500</v>
      </c>
      <c r="K12" s="16">
        <f t="shared" si="1"/>
        <v>88.235294117647058</v>
      </c>
      <c r="L12" s="15">
        <v>17</v>
      </c>
      <c r="M12" s="17">
        <f t="shared" si="12"/>
        <v>1425.7999999999997</v>
      </c>
      <c r="N12" s="16">
        <f t="shared" si="3"/>
        <v>83.870588235294107</v>
      </c>
      <c r="O12" s="18">
        <f t="shared" si="4"/>
        <v>0</v>
      </c>
      <c r="P12" s="19">
        <f t="shared" si="5"/>
        <v>-4.3647058823529505</v>
      </c>
      <c r="Q12" s="20">
        <f t="shared" si="6"/>
        <v>0.95053333333333323</v>
      </c>
      <c r="R12" s="170"/>
      <c r="S12" s="27">
        <v>0.33819444444444446</v>
      </c>
      <c r="T12" s="27">
        <v>0.54652777777777783</v>
      </c>
      <c r="U12" s="4">
        <f t="shared" ref="U12" si="14">IF(S12=TIME(17,0,0),"",(S12-T11)*24*60)</f>
        <v>5.9999999999999787</v>
      </c>
      <c r="V12" s="21">
        <f t="shared" si="13"/>
        <v>300.00000000000006</v>
      </c>
      <c r="W12" s="22"/>
      <c r="X12" s="22"/>
      <c r="Y12" s="22"/>
      <c r="Z12" s="22"/>
      <c r="AA12" s="162"/>
      <c r="AB12" s="162"/>
      <c r="AC12" s="24"/>
      <c r="AD12" s="24"/>
      <c r="AE12" s="18">
        <f t="shared" si="8"/>
        <v>-74.200000000000273</v>
      </c>
      <c r="AF12" s="20">
        <f t="shared" si="9"/>
        <v>0.95053333333333312</v>
      </c>
      <c r="AG12" s="170"/>
    </row>
    <row r="13" spans="1:33" ht="16.5" customHeight="1">
      <c r="A13" s="196" t="s">
        <v>49</v>
      </c>
      <c r="B13" s="35" t="s">
        <v>48</v>
      </c>
      <c r="C13" s="171"/>
      <c r="D13" s="171"/>
      <c r="E13" s="36"/>
      <c r="F13" s="17"/>
      <c r="G13" s="17"/>
      <c r="H13" s="4"/>
      <c r="I13" s="29">
        <v>18</v>
      </c>
      <c r="J13" s="17">
        <v>1500</v>
      </c>
      <c r="K13" s="16">
        <f t="shared" si="1"/>
        <v>83.333333333333329</v>
      </c>
      <c r="L13" s="29">
        <v>18</v>
      </c>
      <c r="M13" s="17">
        <f>AVERAGE(M11:M12)</f>
        <v>1428.0933701657455</v>
      </c>
      <c r="N13" s="16">
        <f t="shared" si="3"/>
        <v>79.338520564763641</v>
      </c>
      <c r="O13" s="18">
        <f t="shared" si="4"/>
        <v>0</v>
      </c>
      <c r="P13" s="19">
        <f t="shared" si="5"/>
        <v>-3.9948127685696875</v>
      </c>
      <c r="Q13" s="20">
        <f t="shared" si="6"/>
        <v>0.95206224677716378</v>
      </c>
      <c r="R13" s="170"/>
      <c r="S13" s="27"/>
      <c r="T13" s="27"/>
      <c r="U13" s="16"/>
      <c r="V13" s="21"/>
      <c r="W13" s="16"/>
      <c r="X13" s="16"/>
      <c r="Y13" s="30">
        <f>SUM(Y11:Y12)</f>
        <v>0</v>
      </c>
      <c r="Z13" s="30">
        <f>SUM(Z11:Z12)</f>
        <v>0</v>
      </c>
      <c r="AA13" s="166"/>
      <c r="AB13" s="166"/>
      <c r="AC13" s="30">
        <v>2</v>
      </c>
      <c r="AD13" s="30">
        <f>SUM(AD11:AD12)</f>
        <v>0</v>
      </c>
      <c r="AE13" s="18">
        <f t="shared" si="8"/>
        <v>-71.906629834254545</v>
      </c>
      <c r="AF13" s="20">
        <f t="shared" si="9"/>
        <v>0.95206224677716367</v>
      </c>
      <c r="AG13" s="170"/>
    </row>
    <row r="14" spans="1:33" ht="16.5" customHeight="1">
      <c r="A14" s="194" t="s">
        <v>50</v>
      </c>
      <c r="B14" s="4" t="s">
        <v>87</v>
      </c>
      <c r="C14" s="190" t="s">
        <v>88</v>
      </c>
      <c r="D14" s="190"/>
      <c r="E14" s="35">
        <v>41</v>
      </c>
      <c r="F14" s="4">
        <v>2784</v>
      </c>
      <c r="G14" s="4">
        <f t="shared" ref="G14:G18" si="15">E14*F14</f>
        <v>114144</v>
      </c>
      <c r="H14" s="21" t="s">
        <v>133</v>
      </c>
      <c r="I14" s="15">
        <v>26</v>
      </c>
      <c r="J14" s="17">
        <v>1500</v>
      </c>
      <c r="K14" s="16">
        <f t="shared" si="1"/>
        <v>57.692307692307693</v>
      </c>
      <c r="L14" s="15">
        <v>26</v>
      </c>
      <c r="M14" s="17">
        <f t="shared" ref="M14:M18" si="16">F14/V14*60</f>
        <v>1427.6923076923074</v>
      </c>
      <c r="N14" s="16">
        <f t="shared" si="3"/>
        <v>54.911242603550285</v>
      </c>
      <c r="O14" s="18">
        <f t="shared" si="4"/>
        <v>0</v>
      </c>
      <c r="P14" s="19">
        <f t="shared" si="5"/>
        <v>-2.7810650887574084</v>
      </c>
      <c r="Q14" s="20">
        <f t="shared" si="6"/>
        <v>0.95179487179487154</v>
      </c>
      <c r="R14" s="170">
        <f>Q19</f>
        <v>0.95655055753527751</v>
      </c>
      <c r="S14" s="27">
        <v>0.20833333333333334</v>
      </c>
      <c r="T14" s="27">
        <v>0.28958333333333336</v>
      </c>
      <c r="U14" s="4"/>
      <c r="V14" s="21">
        <f t="shared" ref="V14:V18" si="17">(T14-S14)*24*60</f>
        <v>117.00000000000003</v>
      </c>
      <c r="W14" s="27"/>
      <c r="X14" s="27"/>
      <c r="Y14" s="27"/>
      <c r="Z14" s="27"/>
      <c r="AA14" s="162"/>
      <c r="AB14" s="162"/>
      <c r="AC14" s="24">
        <v>5</v>
      </c>
      <c r="AD14" s="24"/>
      <c r="AE14" s="18">
        <f t="shared" si="8"/>
        <v>-72.307692307692605</v>
      </c>
      <c r="AF14" s="20">
        <f t="shared" si="9"/>
        <v>0.95179487179487154</v>
      </c>
      <c r="AG14" s="170">
        <f>AF19</f>
        <v>0.95655055753527751</v>
      </c>
    </row>
    <row r="15" spans="1:33" ht="16.5" customHeight="1">
      <c r="A15" s="195" t="s">
        <v>51</v>
      </c>
      <c r="B15" s="4" t="s">
        <v>78</v>
      </c>
      <c r="C15" s="190" t="s">
        <v>89</v>
      </c>
      <c r="D15" s="190"/>
      <c r="E15" s="35">
        <v>50.98</v>
      </c>
      <c r="F15" s="4">
        <v>2900</v>
      </c>
      <c r="G15" s="4">
        <f t="shared" si="15"/>
        <v>147842</v>
      </c>
      <c r="H15" s="21" t="s">
        <v>133</v>
      </c>
      <c r="I15" s="15">
        <v>16</v>
      </c>
      <c r="J15" s="17">
        <v>2000</v>
      </c>
      <c r="K15" s="16">
        <f t="shared" si="1"/>
        <v>125</v>
      </c>
      <c r="L15" s="15">
        <v>16</v>
      </c>
      <c r="M15" s="17">
        <f t="shared" si="16"/>
        <v>1912.0879120879122</v>
      </c>
      <c r="N15" s="16">
        <f t="shared" si="3"/>
        <v>119.50549450549451</v>
      </c>
      <c r="O15" s="18">
        <f t="shared" si="4"/>
        <v>0</v>
      </c>
      <c r="P15" s="19">
        <f t="shared" si="5"/>
        <v>-5.4945054945054892</v>
      </c>
      <c r="Q15" s="20">
        <f t="shared" si="6"/>
        <v>0.95604395604395609</v>
      </c>
      <c r="R15" s="170"/>
      <c r="S15" s="27">
        <v>0.70833333333333337</v>
      </c>
      <c r="T15" s="27">
        <v>0.77152777777777781</v>
      </c>
      <c r="U15" s="4" t="str">
        <f t="shared" ref="U15:U18" si="18">IF(S15=TIME(17,0,0),"",(S15-T14)*24*60)</f>
        <v/>
      </c>
      <c r="V15" s="21">
        <f t="shared" si="17"/>
        <v>91</v>
      </c>
      <c r="W15" s="22"/>
      <c r="X15" s="22"/>
      <c r="Y15" s="22"/>
      <c r="Z15" s="22"/>
      <c r="AA15" s="162"/>
      <c r="AB15" s="162"/>
      <c r="AC15" s="24"/>
      <c r="AD15" s="24"/>
      <c r="AE15" s="18">
        <f t="shared" si="8"/>
        <v>-87.912087912087827</v>
      </c>
      <c r="AF15" s="20">
        <f t="shared" si="9"/>
        <v>0.95604395604395609</v>
      </c>
      <c r="AG15" s="170"/>
    </row>
    <row r="16" spans="1:33" ht="16.5" customHeight="1">
      <c r="A16" s="195" t="s">
        <v>50</v>
      </c>
      <c r="B16" s="4" t="s">
        <v>78</v>
      </c>
      <c r="C16" s="190" t="s">
        <v>90</v>
      </c>
      <c r="D16" s="190"/>
      <c r="E16" s="35">
        <v>50.92</v>
      </c>
      <c r="F16" s="4">
        <v>900</v>
      </c>
      <c r="G16" s="4">
        <f t="shared" si="15"/>
        <v>45828</v>
      </c>
      <c r="H16" s="21">
        <v>2</v>
      </c>
      <c r="I16" s="15">
        <v>15</v>
      </c>
      <c r="J16" s="17">
        <v>2000</v>
      </c>
      <c r="K16" s="16">
        <f t="shared" si="1"/>
        <v>133.33333333333334</v>
      </c>
      <c r="L16" s="15">
        <v>15</v>
      </c>
      <c r="M16" s="17">
        <f t="shared" si="16"/>
        <v>1928.5714285714246</v>
      </c>
      <c r="N16" s="16">
        <f t="shared" si="3"/>
        <v>128.5714285714283</v>
      </c>
      <c r="O16" s="18">
        <f t="shared" si="4"/>
        <v>0</v>
      </c>
      <c r="P16" s="19">
        <f t="shared" si="5"/>
        <v>-4.7619047619050434</v>
      </c>
      <c r="Q16" s="20">
        <f t="shared" si="6"/>
        <v>0.96428571428571219</v>
      </c>
      <c r="R16" s="170"/>
      <c r="S16" s="27">
        <v>0.77569444444444446</v>
      </c>
      <c r="T16" s="27">
        <v>0.79513888888888895</v>
      </c>
      <c r="U16" s="4">
        <f t="shared" si="18"/>
        <v>5.9999999999999787</v>
      </c>
      <c r="V16" s="21">
        <f t="shared" si="17"/>
        <v>28.00000000000006</v>
      </c>
      <c r="W16" s="22"/>
      <c r="X16" s="22"/>
      <c r="Y16" s="22"/>
      <c r="Z16" s="22"/>
      <c r="AA16" s="162"/>
      <c r="AB16" s="162"/>
      <c r="AC16" s="24"/>
      <c r="AD16" s="24"/>
      <c r="AE16" s="18">
        <f t="shared" si="8"/>
        <v>-71.428571428575424</v>
      </c>
      <c r="AF16" s="20">
        <f t="shared" si="9"/>
        <v>0.9642857142857123</v>
      </c>
      <c r="AG16" s="170"/>
    </row>
    <row r="17" spans="1:33" ht="16.5" customHeight="1">
      <c r="A17" s="195" t="s">
        <v>50</v>
      </c>
      <c r="B17" s="4" t="s">
        <v>78</v>
      </c>
      <c r="C17" s="190" t="s">
        <v>91</v>
      </c>
      <c r="D17" s="190"/>
      <c r="E17" s="35">
        <v>50.67</v>
      </c>
      <c r="F17" s="4">
        <v>2005</v>
      </c>
      <c r="G17" s="4">
        <f t="shared" si="15"/>
        <v>101593.35</v>
      </c>
      <c r="H17" s="21" t="s">
        <v>133</v>
      </c>
      <c r="I17" s="15">
        <v>15</v>
      </c>
      <c r="J17" s="17">
        <v>2000</v>
      </c>
      <c r="K17" s="16">
        <f t="shared" si="1"/>
        <v>133.33333333333334</v>
      </c>
      <c r="L17" s="15">
        <v>15</v>
      </c>
      <c r="M17" s="17">
        <f t="shared" si="16"/>
        <v>1909.5238095238115</v>
      </c>
      <c r="N17" s="16">
        <f t="shared" si="3"/>
        <v>127.30158730158743</v>
      </c>
      <c r="O17" s="18">
        <f t="shared" si="4"/>
        <v>0</v>
      </c>
      <c r="P17" s="19">
        <f t="shared" si="5"/>
        <v>-6.0317460317459108</v>
      </c>
      <c r="Q17" s="20">
        <f t="shared" si="6"/>
        <v>0.9547619047619057</v>
      </c>
      <c r="R17" s="170"/>
      <c r="S17" s="27">
        <v>0.7993055555555556</v>
      </c>
      <c r="T17" s="27">
        <v>0.84305555555555556</v>
      </c>
      <c r="U17" s="4">
        <f t="shared" si="18"/>
        <v>5.9999999999999787</v>
      </c>
      <c r="V17" s="21">
        <f t="shared" si="17"/>
        <v>62.999999999999936</v>
      </c>
      <c r="W17" s="22">
        <f>T17</f>
        <v>0.84305555555555556</v>
      </c>
      <c r="X17" s="22">
        <f>S18</f>
        <v>0.88263888888888886</v>
      </c>
      <c r="Y17" s="22"/>
      <c r="Z17" s="22"/>
      <c r="AA17" s="162"/>
      <c r="AB17" s="162"/>
      <c r="AC17" s="24"/>
      <c r="AD17" s="24"/>
      <c r="AE17" s="18">
        <f t="shared" si="8"/>
        <v>-90.476190476188549</v>
      </c>
      <c r="AF17" s="20">
        <f t="shared" si="9"/>
        <v>0.9547619047619057</v>
      </c>
      <c r="AG17" s="170"/>
    </row>
    <row r="18" spans="1:33" ht="16.5" customHeight="1">
      <c r="A18" s="195" t="s">
        <v>51</v>
      </c>
      <c r="B18" s="4" t="s">
        <v>78</v>
      </c>
      <c r="C18" s="190" t="s">
        <v>90</v>
      </c>
      <c r="D18" s="190"/>
      <c r="E18" s="35">
        <v>50.92</v>
      </c>
      <c r="F18" s="4">
        <v>1973</v>
      </c>
      <c r="G18" s="4">
        <f t="shared" si="15"/>
        <v>100465.16</v>
      </c>
      <c r="H18" s="21" t="s">
        <v>133</v>
      </c>
      <c r="I18" s="15">
        <v>15</v>
      </c>
      <c r="J18" s="17">
        <v>2000</v>
      </c>
      <c r="K18" s="16">
        <f t="shared" si="1"/>
        <v>133.33333333333334</v>
      </c>
      <c r="L18" s="15">
        <v>15</v>
      </c>
      <c r="M18" s="17">
        <f t="shared" si="16"/>
        <v>1909.3548387096791</v>
      </c>
      <c r="N18" s="16">
        <f t="shared" si="3"/>
        <v>127.29032258064528</v>
      </c>
      <c r="O18" s="18">
        <f t="shared" si="4"/>
        <v>0</v>
      </c>
      <c r="P18" s="19">
        <f t="shared" si="5"/>
        <v>-6.0430107526880619</v>
      </c>
      <c r="Q18" s="20">
        <f t="shared" si="6"/>
        <v>0.95467741935483952</v>
      </c>
      <c r="R18" s="170"/>
      <c r="S18" s="27">
        <v>0.88263888888888886</v>
      </c>
      <c r="T18" s="27">
        <v>0.92569444444444438</v>
      </c>
      <c r="U18" s="4">
        <f t="shared" si="18"/>
        <v>56.999999999999957</v>
      </c>
      <c r="V18" s="21">
        <f t="shared" si="17"/>
        <v>61.999999999999943</v>
      </c>
      <c r="W18" s="22"/>
      <c r="X18" s="22"/>
      <c r="Y18" s="22"/>
      <c r="Z18" s="22"/>
      <c r="AA18" s="162"/>
      <c r="AB18" s="162"/>
      <c r="AC18" s="24"/>
      <c r="AD18" s="24"/>
      <c r="AE18" s="18">
        <f t="shared" si="8"/>
        <v>-90.645161290320857</v>
      </c>
      <c r="AF18" s="20">
        <f t="shared" si="9"/>
        <v>0.95467741935483952</v>
      </c>
      <c r="AG18" s="170"/>
    </row>
    <row r="19" spans="1:33" ht="16.5" customHeight="1">
      <c r="A19" s="195" t="s">
        <v>50</v>
      </c>
      <c r="B19" s="35" t="s">
        <v>48</v>
      </c>
      <c r="C19" s="171"/>
      <c r="D19" s="171"/>
      <c r="E19" s="36"/>
      <c r="F19" s="16"/>
      <c r="G19" s="16"/>
      <c r="H19" s="4"/>
      <c r="I19" s="29">
        <v>17.399999999999999</v>
      </c>
      <c r="J19" s="17">
        <v>1900</v>
      </c>
      <c r="K19" s="16">
        <f t="shared" si="1"/>
        <v>109.19540229885058</v>
      </c>
      <c r="L19" s="29">
        <v>17.399999999999999</v>
      </c>
      <c r="M19" s="17">
        <f>AVERAGE(M14:M18)</f>
        <v>1817.4460593170272</v>
      </c>
      <c r="N19" s="16">
        <f t="shared" si="3"/>
        <v>104.45092294925445</v>
      </c>
      <c r="O19" s="18">
        <f t="shared" si="4"/>
        <v>0</v>
      </c>
      <c r="P19" s="19">
        <f t="shared" si="5"/>
        <v>-4.7444793495961335</v>
      </c>
      <c r="Q19" s="20">
        <f t="shared" si="6"/>
        <v>0.95655055753527751</v>
      </c>
      <c r="R19" s="170"/>
      <c r="S19" s="27"/>
      <c r="T19" s="27"/>
      <c r="U19" s="4"/>
      <c r="V19" s="21"/>
      <c r="W19" s="16"/>
      <c r="X19" s="16"/>
      <c r="Y19" s="30">
        <f>SUM(Y14:Y18)</f>
        <v>0</v>
      </c>
      <c r="Z19" s="30">
        <f>SUM(Z14:Z18)</f>
        <v>0</v>
      </c>
      <c r="AA19" s="166"/>
      <c r="AB19" s="166"/>
      <c r="AC19" s="30">
        <v>5</v>
      </c>
      <c r="AD19" s="30">
        <f>SUM(AD14:AD18)</f>
        <v>0</v>
      </c>
      <c r="AE19" s="18">
        <f t="shared" si="8"/>
        <v>-82.55394068297278</v>
      </c>
      <c r="AF19" s="20">
        <f t="shared" si="9"/>
        <v>0.95655055753527751</v>
      </c>
      <c r="AG19" s="170"/>
    </row>
    <row r="20" spans="1:33" ht="15.75" customHeight="1">
      <c r="A20" s="192" t="s">
        <v>52</v>
      </c>
      <c r="B20" s="35" t="s">
        <v>78</v>
      </c>
      <c r="C20" s="190" t="s">
        <v>92</v>
      </c>
      <c r="D20" s="190"/>
      <c r="E20" s="35">
        <v>57.73</v>
      </c>
      <c r="F20" s="4">
        <v>3493</v>
      </c>
      <c r="G20" s="4">
        <f t="shared" ref="G20:G25" si="19">E20*F20</f>
        <v>201650.88999999998</v>
      </c>
      <c r="H20" s="21" t="s">
        <v>133</v>
      </c>
      <c r="I20" s="15">
        <v>14</v>
      </c>
      <c r="J20" s="17">
        <v>2000</v>
      </c>
      <c r="K20" s="16">
        <f t="shared" si="1"/>
        <v>142.85714285714286</v>
      </c>
      <c r="L20" s="15">
        <v>14</v>
      </c>
      <c r="M20" s="17">
        <f t="shared" ref="M20:M25" si="20">F20/V20*60</f>
        <v>1905.2727272727277</v>
      </c>
      <c r="N20" s="16">
        <f t="shared" si="3"/>
        <v>136.09090909090912</v>
      </c>
      <c r="O20" s="18">
        <f t="shared" si="4"/>
        <v>0</v>
      </c>
      <c r="P20" s="19">
        <f t="shared" si="5"/>
        <v>-6.7662337662337393</v>
      </c>
      <c r="Q20" s="20">
        <f t="shared" si="6"/>
        <v>0.95263636363636384</v>
      </c>
      <c r="R20" s="170">
        <f>Q26</f>
        <v>0.95975871846718219</v>
      </c>
      <c r="S20" s="27">
        <v>0.20833333333333334</v>
      </c>
      <c r="T20" s="27">
        <v>0.28472222222222221</v>
      </c>
      <c r="U20" s="4"/>
      <c r="V20" s="21">
        <f t="shared" ref="V20:V25" si="21">(T20-S20)*24*60</f>
        <v>109.99999999999997</v>
      </c>
      <c r="W20" s="27"/>
      <c r="X20" s="27"/>
      <c r="Y20" s="27"/>
      <c r="Z20" s="27"/>
      <c r="AA20" s="162"/>
      <c r="AB20" s="162"/>
      <c r="AC20" s="24">
        <v>6</v>
      </c>
      <c r="AD20" s="24"/>
      <c r="AE20" s="18">
        <f t="shared" si="8"/>
        <v>-94.727272727272293</v>
      </c>
      <c r="AF20" s="20">
        <f t="shared" si="9"/>
        <v>0.95263636363636384</v>
      </c>
      <c r="AG20" s="170">
        <f>AF26</f>
        <v>0.95975871846718219</v>
      </c>
    </row>
    <row r="21" spans="1:33" ht="15.75" customHeight="1">
      <c r="A21" s="193" t="s">
        <v>52</v>
      </c>
      <c r="B21" s="35" t="s">
        <v>78</v>
      </c>
      <c r="C21" s="190" t="s">
        <v>93</v>
      </c>
      <c r="D21" s="190"/>
      <c r="E21" s="35">
        <v>53.68</v>
      </c>
      <c r="F21" s="4">
        <v>1742</v>
      </c>
      <c r="G21" s="4">
        <f t="shared" si="19"/>
        <v>93510.56</v>
      </c>
      <c r="H21" s="21" t="s">
        <v>133</v>
      </c>
      <c r="I21" s="15">
        <v>16</v>
      </c>
      <c r="J21" s="17">
        <v>2000</v>
      </c>
      <c r="K21" s="16">
        <f t="shared" si="1"/>
        <v>125</v>
      </c>
      <c r="L21" s="15">
        <v>16</v>
      </c>
      <c r="M21" s="17">
        <f t="shared" si="20"/>
        <v>1935.5555555555563</v>
      </c>
      <c r="N21" s="16">
        <f t="shared" si="3"/>
        <v>120.97222222222227</v>
      </c>
      <c r="O21" s="18">
        <f t="shared" si="4"/>
        <v>0</v>
      </c>
      <c r="P21" s="19">
        <f t="shared" si="5"/>
        <v>-4.0277777777777288</v>
      </c>
      <c r="Q21" s="20">
        <f t="shared" si="6"/>
        <v>0.96777777777777818</v>
      </c>
      <c r="R21" s="170"/>
      <c r="S21" s="27">
        <v>0.28888888888888886</v>
      </c>
      <c r="T21" s="27">
        <v>0.32638888888888884</v>
      </c>
      <c r="U21" s="4">
        <f t="shared" ref="U21:U25" si="22">IF(S21=TIME(17,0,0),"",(S21-T20)*24*60)</f>
        <v>5.9999999999999787</v>
      </c>
      <c r="V21" s="21">
        <f t="shared" si="21"/>
        <v>53.999999999999972</v>
      </c>
      <c r="W21" s="22"/>
      <c r="X21" s="4"/>
      <c r="Y21" s="4"/>
      <c r="Z21" s="4"/>
      <c r="AA21" s="162"/>
      <c r="AB21" s="162"/>
      <c r="AC21" s="24"/>
      <c r="AD21" s="24"/>
      <c r="AE21" s="18">
        <f t="shared" si="8"/>
        <v>-64.444444444443661</v>
      </c>
      <c r="AF21" s="20">
        <f t="shared" si="9"/>
        <v>0.96777777777777818</v>
      </c>
      <c r="AG21" s="170"/>
    </row>
    <row r="22" spans="1:33" ht="15.75" customHeight="1">
      <c r="A22" s="193" t="s">
        <v>52</v>
      </c>
      <c r="B22" s="35" t="s">
        <v>78</v>
      </c>
      <c r="C22" s="190" t="s">
        <v>94</v>
      </c>
      <c r="D22" s="190"/>
      <c r="E22" s="35">
        <v>50.49</v>
      </c>
      <c r="F22" s="4">
        <v>2476</v>
      </c>
      <c r="G22" s="4">
        <f t="shared" si="19"/>
        <v>125013.24</v>
      </c>
      <c r="H22" s="21" t="s">
        <v>133</v>
      </c>
      <c r="I22" s="15">
        <v>15</v>
      </c>
      <c r="J22" s="17">
        <v>2000</v>
      </c>
      <c r="K22" s="16">
        <f t="shared" si="1"/>
        <v>133.33333333333334</v>
      </c>
      <c r="L22" s="15">
        <v>15</v>
      </c>
      <c r="M22" s="17">
        <f t="shared" si="20"/>
        <v>1904.6153846153836</v>
      </c>
      <c r="N22" s="16">
        <f t="shared" si="3"/>
        <v>126.97435897435891</v>
      </c>
      <c r="O22" s="18">
        <f t="shared" si="4"/>
        <v>0</v>
      </c>
      <c r="P22" s="19">
        <f t="shared" si="5"/>
        <v>-6.3589743589744359</v>
      </c>
      <c r="Q22" s="20">
        <f t="shared" si="6"/>
        <v>0.95230769230769174</v>
      </c>
      <c r="R22" s="170"/>
      <c r="S22" s="27">
        <v>0.70833333333333337</v>
      </c>
      <c r="T22" s="27">
        <v>0.76250000000000007</v>
      </c>
      <c r="U22" s="4" t="str">
        <f t="shared" si="22"/>
        <v/>
      </c>
      <c r="V22" s="21">
        <f t="shared" si="21"/>
        <v>78.000000000000043</v>
      </c>
      <c r="W22" s="22"/>
      <c r="X22" s="4"/>
      <c r="Y22" s="4"/>
      <c r="Z22" s="4"/>
      <c r="AA22" s="162"/>
      <c r="AB22" s="162"/>
      <c r="AC22" s="24"/>
      <c r="AD22" s="24"/>
      <c r="AE22" s="18">
        <f t="shared" si="8"/>
        <v>-95.384615384616382</v>
      </c>
      <c r="AF22" s="20">
        <f t="shared" si="9"/>
        <v>0.95230769230769186</v>
      </c>
      <c r="AG22" s="170"/>
    </row>
    <row r="23" spans="1:33" ht="15.75" customHeight="1">
      <c r="A23" s="193" t="s">
        <v>52</v>
      </c>
      <c r="B23" s="35" t="s">
        <v>78</v>
      </c>
      <c r="C23" s="190" t="s">
        <v>95</v>
      </c>
      <c r="D23" s="190"/>
      <c r="E23" s="35">
        <v>53.68</v>
      </c>
      <c r="F23" s="4">
        <v>700</v>
      </c>
      <c r="G23" s="4">
        <f t="shared" si="19"/>
        <v>37576</v>
      </c>
      <c r="H23" s="21">
        <v>2</v>
      </c>
      <c r="I23" s="15">
        <v>16</v>
      </c>
      <c r="J23" s="17">
        <v>1500</v>
      </c>
      <c r="K23" s="16">
        <f t="shared" si="1"/>
        <v>93.75</v>
      </c>
      <c r="L23" s="15">
        <v>16</v>
      </c>
      <c r="M23" s="17">
        <f t="shared" si="20"/>
        <v>1448.2758620689626</v>
      </c>
      <c r="N23" s="16">
        <f t="shared" si="3"/>
        <v>90.517241379310164</v>
      </c>
      <c r="O23" s="18">
        <f t="shared" si="4"/>
        <v>0</v>
      </c>
      <c r="P23" s="19">
        <f t="shared" si="5"/>
        <v>-3.232758620689836</v>
      </c>
      <c r="Q23" s="20">
        <f t="shared" si="6"/>
        <v>0.96551724137930839</v>
      </c>
      <c r="R23" s="170"/>
      <c r="S23" s="27">
        <v>0.76736111111111116</v>
      </c>
      <c r="T23" s="27">
        <v>0.78750000000000009</v>
      </c>
      <c r="U23" s="4">
        <f t="shared" si="22"/>
        <v>6.9999999999999751</v>
      </c>
      <c r="V23" s="21">
        <f t="shared" si="21"/>
        <v>29.000000000000057</v>
      </c>
      <c r="W23" s="22"/>
      <c r="X23" s="4"/>
      <c r="Y23" s="4"/>
      <c r="Z23" s="4"/>
      <c r="AA23" s="162"/>
      <c r="AB23" s="162"/>
      <c r="AC23" s="24"/>
      <c r="AD23" s="24"/>
      <c r="AE23" s="18">
        <f t="shared" si="8"/>
        <v>-51.724137931037376</v>
      </c>
      <c r="AF23" s="20">
        <f t="shared" si="9"/>
        <v>0.96551724137930839</v>
      </c>
      <c r="AG23" s="170"/>
    </row>
    <row r="24" spans="1:33" ht="15.75" customHeight="1">
      <c r="A24" s="193" t="s">
        <v>52</v>
      </c>
      <c r="B24" s="35" t="s">
        <v>78</v>
      </c>
      <c r="C24" s="190" t="s">
        <v>96</v>
      </c>
      <c r="D24" s="190"/>
      <c r="E24" s="35">
        <v>57.3</v>
      </c>
      <c r="F24" s="4">
        <v>2241</v>
      </c>
      <c r="G24" s="4">
        <f t="shared" si="19"/>
        <v>128409.29999999999</v>
      </c>
      <c r="H24" s="21" t="s">
        <v>133</v>
      </c>
      <c r="I24" s="15">
        <v>13</v>
      </c>
      <c r="J24" s="17">
        <v>2000</v>
      </c>
      <c r="K24" s="16">
        <f t="shared" si="1"/>
        <v>153.84615384615384</v>
      </c>
      <c r="L24" s="15">
        <v>13</v>
      </c>
      <c r="M24" s="17">
        <f t="shared" si="20"/>
        <v>1920.8571428571411</v>
      </c>
      <c r="N24" s="16">
        <f t="shared" si="3"/>
        <v>147.75824175824161</v>
      </c>
      <c r="O24" s="18">
        <f t="shared" si="4"/>
        <v>0</v>
      </c>
      <c r="P24" s="19">
        <f t="shared" si="5"/>
        <v>-6.0879120879122297</v>
      </c>
      <c r="Q24" s="20">
        <f t="shared" si="6"/>
        <v>0.96042857142857052</v>
      </c>
      <c r="R24" s="170"/>
      <c r="S24" s="27">
        <v>0.79166666666666674</v>
      </c>
      <c r="T24" s="27">
        <v>0.8402777777777779</v>
      </c>
      <c r="U24" s="4">
        <f t="shared" si="22"/>
        <v>5.9999999999999787</v>
      </c>
      <c r="V24" s="21">
        <f t="shared" si="21"/>
        <v>70.000000000000071</v>
      </c>
      <c r="W24" s="22">
        <f>T24</f>
        <v>0.8402777777777779</v>
      </c>
      <c r="X24" s="22">
        <f>S25</f>
        <v>0.8798611111111112</v>
      </c>
      <c r="Y24" s="4"/>
      <c r="Z24" s="4"/>
      <c r="AA24" s="162"/>
      <c r="AB24" s="162"/>
      <c r="AC24" s="24"/>
      <c r="AD24" s="24"/>
      <c r="AE24" s="18">
        <f t="shared" si="8"/>
        <v>-79.142857142858929</v>
      </c>
      <c r="AF24" s="20">
        <f t="shared" si="9"/>
        <v>0.96042857142857052</v>
      </c>
      <c r="AG24" s="170"/>
    </row>
    <row r="25" spans="1:33" ht="15.75" customHeight="1">
      <c r="A25" s="193" t="s">
        <v>52</v>
      </c>
      <c r="B25" s="35" t="s">
        <v>78</v>
      </c>
      <c r="C25" s="190" t="s">
        <v>95</v>
      </c>
      <c r="D25" s="190"/>
      <c r="E25" s="35">
        <v>53.68</v>
      </c>
      <c r="F25" s="4">
        <v>1563</v>
      </c>
      <c r="G25" s="4">
        <f t="shared" si="19"/>
        <v>83901.84</v>
      </c>
      <c r="H25" s="21" t="s">
        <v>133</v>
      </c>
      <c r="I25" s="15">
        <v>16</v>
      </c>
      <c r="J25" s="17">
        <v>1500</v>
      </c>
      <c r="K25" s="16">
        <f t="shared" si="1"/>
        <v>93.75</v>
      </c>
      <c r="L25" s="15">
        <v>16</v>
      </c>
      <c r="M25" s="17">
        <f t="shared" si="20"/>
        <v>1442.7692307692323</v>
      </c>
      <c r="N25" s="16">
        <f t="shared" si="3"/>
        <v>90.173076923077019</v>
      </c>
      <c r="O25" s="18">
        <f t="shared" si="4"/>
        <v>0</v>
      </c>
      <c r="P25" s="19">
        <f t="shared" si="5"/>
        <v>-3.5769230769229807</v>
      </c>
      <c r="Q25" s="20">
        <f t="shared" si="6"/>
        <v>0.96184615384615491</v>
      </c>
      <c r="R25" s="170"/>
      <c r="S25" s="27">
        <v>0.8798611111111112</v>
      </c>
      <c r="T25" s="27">
        <v>0.92500000000000004</v>
      </c>
      <c r="U25" s="4">
        <f t="shared" si="22"/>
        <v>56.999999999999957</v>
      </c>
      <c r="V25" s="21">
        <f t="shared" si="21"/>
        <v>64.999999999999929</v>
      </c>
      <c r="W25" s="22"/>
      <c r="X25" s="27"/>
      <c r="Y25" s="27"/>
      <c r="Z25" s="27"/>
      <c r="AA25" s="162"/>
      <c r="AB25" s="162"/>
      <c r="AC25" s="24"/>
      <c r="AD25" s="24"/>
      <c r="AE25" s="18">
        <f t="shared" si="8"/>
        <v>-57.230769230767692</v>
      </c>
      <c r="AF25" s="20">
        <f t="shared" si="9"/>
        <v>0.96184615384615491</v>
      </c>
      <c r="AG25" s="170"/>
    </row>
    <row r="26" spans="1:33" ht="15.75" customHeight="1">
      <c r="A26" s="193" t="s">
        <v>52</v>
      </c>
      <c r="B26" s="35" t="s">
        <v>53</v>
      </c>
      <c r="C26" s="171"/>
      <c r="D26" s="171"/>
      <c r="E26" s="36"/>
      <c r="F26" s="4"/>
      <c r="G26" s="4"/>
      <c r="H26" s="4"/>
      <c r="I26" s="29">
        <v>15</v>
      </c>
      <c r="J26" s="17">
        <v>1833.3333333333333</v>
      </c>
      <c r="K26" s="16">
        <f t="shared" ref="K26:K54" si="23">J26/I26</f>
        <v>122.22222222222221</v>
      </c>
      <c r="L26" s="29">
        <v>15</v>
      </c>
      <c r="M26" s="17">
        <f>AVERAGE(M20:M25)</f>
        <v>1759.5576505231672</v>
      </c>
      <c r="N26" s="16">
        <f t="shared" ref="N26:N54" si="24">M26/L26</f>
        <v>117.30384336821115</v>
      </c>
      <c r="O26" s="18">
        <f t="shared" ref="O26:O54" si="25">L26-I26</f>
        <v>0</v>
      </c>
      <c r="P26" s="19">
        <f t="shared" ref="P26:P54" si="26">N26-K26</f>
        <v>-4.9183788540110669</v>
      </c>
      <c r="Q26" s="20">
        <f t="shared" ref="Q26:Q54" si="27">N26/K26</f>
        <v>0.95975871846718219</v>
      </c>
      <c r="R26" s="170"/>
      <c r="S26" s="27"/>
      <c r="T26" s="27"/>
      <c r="U26" s="16"/>
      <c r="V26" s="21"/>
      <c r="W26" s="16"/>
      <c r="X26" s="16"/>
      <c r="Y26" s="30">
        <f>SUM(Y20:Y25)</f>
        <v>0</v>
      </c>
      <c r="Z26" s="30">
        <f>SUM(Z20:Z25)</f>
        <v>0</v>
      </c>
      <c r="AA26" s="166"/>
      <c r="AB26" s="166"/>
      <c r="AC26" s="30">
        <v>6</v>
      </c>
      <c r="AD26" s="30">
        <f>SUM(AD20:AD25)</f>
        <v>0</v>
      </c>
      <c r="AE26" s="18">
        <f t="shared" ref="AE26:AE54" si="28">M26-J26</f>
        <v>-73.775682810166018</v>
      </c>
      <c r="AF26" s="20">
        <f t="shared" ref="AF26:AF54" si="29">M26/J26</f>
        <v>0.95975871846718219</v>
      </c>
      <c r="AG26" s="170"/>
    </row>
    <row r="27" spans="1:33" ht="15.75" customHeight="1">
      <c r="A27" s="191" t="s">
        <v>54</v>
      </c>
      <c r="B27" s="35" t="s">
        <v>97</v>
      </c>
      <c r="C27" s="190" t="s">
        <v>98</v>
      </c>
      <c r="D27" s="190"/>
      <c r="E27" s="35">
        <v>31.29</v>
      </c>
      <c r="F27" s="4">
        <v>6600</v>
      </c>
      <c r="G27" s="4">
        <f t="shared" ref="G27:G34" si="30">E27*F27</f>
        <v>206514</v>
      </c>
      <c r="H27" s="21">
        <v>2</v>
      </c>
      <c r="I27" s="15">
        <v>18</v>
      </c>
      <c r="J27" s="17">
        <v>2400</v>
      </c>
      <c r="K27" s="16">
        <f t="shared" si="23"/>
        <v>133.33333333333334</v>
      </c>
      <c r="L27" s="15">
        <v>18</v>
      </c>
      <c r="M27" s="17">
        <f t="shared" ref="M27:M34" si="31">F27/V27*60</f>
        <v>2289.0173410404618</v>
      </c>
      <c r="N27" s="16">
        <f t="shared" si="24"/>
        <v>127.16763005780344</v>
      </c>
      <c r="O27" s="18">
        <f t="shared" si="25"/>
        <v>0</v>
      </c>
      <c r="P27" s="19">
        <f t="shared" si="26"/>
        <v>-6.165703275529907</v>
      </c>
      <c r="Q27" s="20">
        <f t="shared" si="27"/>
        <v>0.9537572254335257</v>
      </c>
      <c r="R27" s="170">
        <f>Q35</f>
        <v>0.95694225836733926</v>
      </c>
      <c r="S27" s="27">
        <v>0.125</v>
      </c>
      <c r="T27" s="27">
        <v>0.24513888888888891</v>
      </c>
      <c r="U27" s="4"/>
      <c r="V27" s="21">
        <f t="shared" ref="V27:V34" si="32">(T27-S27)*24*60</f>
        <v>173.00000000000003</v>
      </c>
      <c r="W27" s="22">
        <f>T27</f>
        <v>0.24513888888888891</v>
      </c>
      <c r="X27" s="22">
        <f>S28</f>
        <v>0.26458333333333334</v>
      </c>
      <c r="Y27" s="22"/>
      <c r="Z27" s="22"/>
      <c r="AA27" s="162"/>
      <c r="AB27" s="162"/>
      <c r="AC27" s="24">
        <v>8</v>
      </c>
      <c r="AD27" s="24"/>
      <c r="AE27" s="18">
        <f t="shared" si="28"/>
        <v>-110.98265895953818</v>
      </c>
      <c r="AF27" s="20">
        <f t="shared" si="29"/>
        <v>0.9537572254335257</v>
      </c>
      <c r="AG27" s="170">
        <f>AF35</f>
        <v>0.95694225836733926</v>
      </c>
    </row>
    <row r="28" spans="1:33" ht="15.75" customHeight="1">
      <c r="A28" s="191" t="s">
        <v>55</v>
      </c>
      <c r="B28" s="35" t="s">
        <v>97</v>
      </c>
      <c r="C28" s="190" t="s">
        <v>99</v>
      </c>
      <c r="D28" s="190"/>
      <c r="E28" s="35">
        <v>25.98</v>
      </c>
      <c r="F28" s="4">
        <v>3570</v>
      </c>
      <c r="G28" s="4">
        <f t="shared" si="30"/>
        <v>92748.6</v>
      </c>
      <c r="H28" s="21" t="s">
        <v>133</v>
      </c>
      <c r="I28" s="15">
        <v>21</v>
      </c>
      <c r="J28" s="17">
        <v>2400</v>
      </c>
      <c r="K28" s="16">
        <f t="shared" si="23"/>
        <v>114.28571428571429</v>
      </c>
      <c r="L28" s="15">
        <v>21</v>
      </c>
      <c r="M28" s="17">
        <f t="shared" si="31"/>
        <v>2303.2258064516132</v>
      </c>
      <c r="N28" s="16">
        <f t="shared" si="24"/>
        <v>109.67741935483872</v>
      </c>
      <c r="O28" s="18">
        <f t="shared" si="25"/>
        <v>0</v>
      </c>
      <c r="P28" s="19">
        <f t="shared" si="26"/>
        <v>-4.608294930875573</v>
      </c>
      <c r="Q28" s="20">
        <f t="shared" si="27"/>
        <v>0.95967741935483875</v>
      </c>
      <c r="R28" s="170"/>
      <c r="S28" s="27">
        <v>0.26458333333333334</v>
      </c>
      <c r="T28" s="27">
        <v>0.32916666666666666</v>
      </c>
      <c r="U28" s="4">
        <f t="shared" ref="U28:U34" si="33">(S28-T27)*24*60</f>
        <v>27.999999999999979</v>
      </c>
      <c r="V28" s="21">
        <f t="shared" si="32"/>
        <v>92.999999999999986</v>
      </c>
      <c r="W28" s="22"/>
      <c r="X28" s="22"/>
      <c r="Y28" s="22"/>
      <c r="Z28" s="22"/>
      <c r="AA28" s="162"/>
      <c r="AB28" s="162"/>
      <c r="AC28" s="24"/>
      <c r="AD28" s="24"/>
      <c r="AE28" s="18">
        <f t="shared" si="28"/>
        <v>-96.774193548386847</v>
      </c>
      <c r="AF28" s="20">
        <f t="shared" si="29"/>
        <v>0.95967741935483886</v>
      </c>
      <c r="AG28" s="170"/>
    </row>
    <row r="29" spans="1:33" ht="15.75" customHeight="1">
      <c r="A29" s="191" t="s">
        <v>56</v>
      </c>
      <c r="B29" s="35" t="s">
        <v>97</v>
      </c>
      <c r="C29" s="190" t="s">
        <v>100</v>
      </c>
      <c r="D29" s="190"/>
      <c r="E29" s="35">
        <v>26.2</v>
      </c>
      <c r="F29" s="4">
        <v>3600</v>
      </c>
      <c r="G29" s="4">
        <f t="shared" si="30"/>
        <v>94320</v>
      </c>
      <c r="H29" s="21">
        <v>2</v>
      </c>
      <c r="I29" s="15">
        <v>20</v>
      </c>
      <c r="J29" s="17">
        <v>2400</v>
      </c>
      <c r="K29" s="16">
        <f t="shared" si="23"/>
        <v>120</v>
      </c>
      <c r="L29" s="15">
        <v>20</v>
      </c>
      <c r="M29" s="17">
        <f t="shared" si="31"/>
        <v>2297.872340425532</v>
      </c>
      <c r="N29" s="16">
        <f t="shared" si="24"/>
        <v>114.8936170212766</v>
      </c>
      <c r="O29" s="18">
        <f t="shared" si="25"/>
        <v>0</v>
      </c>
      <c r="P29" s="19">
        <f t="shared" si="26"/>
        <v>-5.1063829787234027</v>
      </c>
      <c r="Q29" s="20">
        <f t="shared" si="27"/>
        <v>0.95744680851063835</v>
      </c>
      <c r="R29" s="170"/>
      <c r="S29" s="27">
        <v>0.33263888888888887</v>
      </c>
      <c r="T29" s="27">
        <v>0.39791666666666664</v>
      </c>
      <c r="U29" s="4">
        <f t="shared" si="33"/>
        <v>4.9999999999999822</v>
      </c>
      <c r="V29" s="21">
        <f t="shared" si="32"/>
        <v>93.999999999999986</v>
      </c>
      <c r="W29" s="22"/>
      <c r="X29" s="22"/>
      <c r="Y29" s="22"/>
      <c r="Z29" s="22"/>
      <c r="AA29" s="162"/>
      <c r="AB29" s="162"/>
      <c r="AC29" s="24"/>
      <c r="AD29" s="24"/>
      <c r="AE29" s="18">
        <f t="shared" si="28"/>
        <v>-102.127659574468</v>
      </c>
      <c r="AF29" s="20">
        <f t="shared" si="29"/>
        <v>0.95744680851063835</v>
      </c>
      <c r="AG29" s="170"/>
    </row>
    <row r="30" spans="1:33" ht="15.75" customHeight="1">
      <c r="A30" s="191" t="s">
        <v>56</v>
      </c>
      <c r="B30" s="35" t="s">
        <v>97</v>
      </c>
      <c r="C30" s="190" t="s">
        <v>101</v>
      </c>
      <c r="D30" s="190"/>
      <c r="E30" s="35">
        <v>25.99</v>
      </c>
      <c r="F30" s="4">
        <v>2800</v>
      </c>
      <c r="G30" s="4">
        <f t="shared" si="30"/>
        <v>72772</v>
      </c>
      <c r="H30" s="21">
        <v>2</v>
      </c>
      <c r="I30" s="15">
        <v>14</v>
      </c>
      <c r="J30" s="17">
        <v>2400</v>
      </c>
      <c r="K30" s="16">
        <f t="shared" si="23"/>
        <v>171.42857142857142</v>
      </c>
      <c r="L30" s="15">
        <v>14</v>
      </c>
      <c r="M30" s="17">
        <f t="shared" si="31"/>
        <v>2301.3698630136987</v>
      </c>
      <c r="N30" s="16">
        <f t="shared" si="24"/>
        <v>164.38356164383563</v>
      </c>
      <c r="O30" s="18">
        <f t="shared" si="25"/>
        <v>0</v>
      </c>
      <c r="P30" s="19">
        <f t="shared" si="26"/>
        <v>-7.0450097847357824</v>
      </c>
      <c r="Q30" s="20">
        <f t="shared" si="27"/>
        <v>0.95890410958904126</v>
      </c>
      <c r="R30" s="170"/>
      <c r="S30" s="27">
        <v>0.40138888888888885</v>
      </c>
      <c r="T30" s="27">
        <v>0.45208333333333328</v>
      </c>
      <c r="U30" s="4">
        <f t="shared" si="33"/>
        <v>4.9999999999999822</v>
      </c>
      <c r="V30" s="21">
        <f t="shared" si="32"/>
        <v>72.999999999999986</v>
      </c>
      <c r="W30" s="22"/>
      <c r="X30" s="22"/>
      <c r="Y30" s="22"/>
      <c r="Z30" s="22"/>
      <c r="AA30" s="162"/>
      <c r="AB30" s="162"/>
      <c r="AC30" s="24"/>
      <c r="AD30" s="24"/>
      <c r="AE30" s="18">
        <f t="shared" si="28"/>
        <v>-98.630136986301295</v>
      </c>
      <c r="AF30" s="20">
        <f t="shared" si="29"/>
        <v>0.95890410958904115</v>
      </c>
      <c r="AG30" s="170"/>
    </row>
    <row r="31" spans="1:33" ht="15.75" customHeight="1">
      <c r="A31" s="191" t="s">
        <v>56</v>
      </c>
      <c r="B31" s="35" t="s">
        <v>97</v>
      </c>
      <c r="C31" s="190" t="s">
        <v>102</v>
      </c>
      <c r="D31" s="190"/>
      <c r="E31" s="35">
        <v>26.18</v>
      </c>
      <c r="F31" s="4">
        <v>2381</v>
      </c>
      <c r="G31" s="4">
        <f t="shared" si="30"/>
        <v>62334.58</v>
      </c>
      <c r="H31" s="21" t="s">
        <v>133</v>
      </c>
      <c r="I31" s="15">
        <v>19</v>
      </c>
      <c r="J31" s="17">
        <v>2400</v>
      </c>
      <c r="K31" s="16">
        <f t="shared" si="23"/>
        <v>126.31578947368421</v>
      </c>
      <c r="L31" s="15">
        <v>19</v>
      </c>
      <c r="M31" s="17">
        <f t="shared" si="31"/>
        <v>2304.1935483870989</v>
      </c>
      <c r="N31" s="16">
        <f t="shared" si="24"/>
        <v>121.27334465195257</v>
      </c>
      <c r="O31" s="18">
        <f t="shared" si="25"/>
        <v>0</v>
      </c>
      <c r="P31" s="19">
        <f t="shared" si="26"/>
        <v>-5.0424448217316353</v>
      </c>
      <c r="Q31" s="20">
        <f t="shared" si="27"/>
        <v>0.96008064516129121</v>
      </c>
      <c r="R31" s="170"/>
      <c r="S31" s="27">
        <v>0.45763888888888882</v>
      </c>
      <c r="T31" s="27">
        <v>0.50069444444444433</v>
      </c>
      <c r="U31" s="4">
        <f t="shared" si="33"/>
        <v>7.9999999999999716</v>
      </c>
      <c r="V31" s="21">
        <f t="shared" si="32"/>
        <v>61.999999999999943</v>
      </c>
      <c r="W31" s="22">
        <f>T31</f>
        <v>0.50069444444444433</v>
      </c>
      <c r="X31" s="22">
        <f>S32</f>
        <v>0.54097222222222208</v>
      </c>
      <c r="Y31" s="22"/>
      <c r="Z31" s="22"/>
      <c r="AA31" s="162"/>
      <c r="AB31" s="162"/>
      <c r="AC31" s="24"/>
      <c r="AD31" s="24"/>
      <c r="AE31" s="18">
        <f t="shared" si="28"/>
        <v>-95.806451612901128</v>
      </c>
      <c r="AF31" s="20">
        <f t="shared" si="29"/>
        <v>0.96008064516129121</v>
      </c>
      <c r="AG31" s="170"/>
    </row>
    <row r="32" spans="1:33" ht="15.75" customHeight="1">
      <c r="A32" s="191" t="s">
        <v>54</v>
      </c>
      <c r="B32" s="35" t="s">
        <v>97</v>
      </c>
      <c r="C32" s="190" t="s">
        <v>98</v>
      </c>
      <c r="D32" s="190"/>
      <c r="E32" s="35">
        <v>31.29</v>
      </c>
      <c r="F32" s="4">
        <v>4739</v>
      </c>
      <c r="G32" s="4">
        <f t="shared" si="30"/>
        <v>148283.31</v>
      </c>
      <c r="H32" s="21" t="s">
        <v>133</v>
      </c>
      <c r="I32" s="15">
        <v>18</v>
      </c>
      <c r="J32" s="17">
        <v>2400</v>
      </c>
      <c r="K32" s="16">
        <f t="shared" si="23"/>
        <v>133.33333333333334</v>
      </c>
      <c r="L32" s="15">
        <v>18</v>
      </c>
      <c r="M32" s="17">
        <f t="shared" si="31"/>
        <v>2293.0645161290313</v>
      </c>
      <c r="N32" s="16">
        <f t="shared" si="24"/>
        <v>127.39247311827951</v>
      </c>
      <c r="O32" s="18">
        <f t="shared" si="25"/>
        <v>0</v>
      </c>
      <c r="P32" s="19">
        <f t="shared" si="26"/>
        <v>-5.9408602150538314</v>
      </c>
      <c r="Q32" s="20">
        <f t="shared" si="27"/>
        <v>0.95544354838709622</v>
      </c>
      <c r="R32" s="170"/>
      <c r="S32" s="27">
        <v>0.54097222222222208</v>
      </c>
      <c r="T32" s="27">
        <v>0.62708333333333321</v>
      </c>
      <c r="U32" s="4">
        <f t="shared" si="33"/>
        <v>57.999999999999957</v>
      </c>
      <c r="V32" s="21">
        <f t="shared" si="32"/>
        <v>124.00000000000004</v>
      </c>
      <c r="W32" s="22"/>
      <c r="X32" s="22"/>
      <c r="Y32" s="22"/>
      <c r="Z32" s="22"/>
      <c r="AA32" s="162"/>
      <c r="AB32" s="162"/>
      <c r="AC32" s="24"/>
      <c r="AD32" s="24"/>
      <c r="AE32" s="18">
        <f t="shared" si="28"/>
        <v>-106.93548387096871</v>
      </c>
      <c r="AF32" s="20">
        <f t="shared" si="29"/>
        <v>0.95544354838709633</v>
      </c>
      <c r="AG32" s="170"/>
    </row>
    <row r="33" spans="1:33" ht="15.75" customHeight="1">
      <c r="A33" s="191" t="s">
        <v>57</v>
      </c>
      <c r="B33" s="35" t="s">
        <v>97</v>
      </c>
      <c r="C33" s="190" t="s">
        <v>100</v>
      </c>
      <c r="D33" s="190"/>
      <c r="E33" s="35">
        <v>26.2</v>
      </c>
      <c r="F33" s="4">
        <v>2799</v>
      </c>
      <c r="G33" s="4">
        <f t="shared" si="30"/>
        <v>73333.8</v>
      </c>
      <c r="H33" s="21" t="s">
        <v>133</v>
      </c>
      <c r="I33" s="15">
        <v>20</v>
      </c>
      <c r="J33" s="17">
        <v>2400</v>
      </c>
      <c r="K33" s="16">
        <f t="shared" si="23"/>
        <v>120</v>
      </c>
      <c r="L33" s="15">
        <v>20</v>
      </c>
      <c r="M33" s="17">
        <f t="shared" si="31"/>
        <v>2300.5479452054774</v>
      </c>
      <c r="N33" s="16">
        <f t="shared" si="24"/>
        <v>115.02739726027387</v>
      </c>
      <c r="O33" s="18">
        <f t="shared" si="25"/>
        <v>0</v>
      </c>
      <c r="P33" s="19">
        <f t="shared" si="26"/>
        <v>-4.9726027397261277</v>
      </c>
      <c r="Q33" s="20">
        <f t="shared" si="27"/>
        <v>0.9585616438356156</v>
      </c>
      <c r="R33" s="170"/>
      <c r="S33" s="27">
        <v>0.63194444444444431</v>
      </c>
      <c r="T33" s="27">
        <v>0.6826388888888888</v>
      </c>
      <c r="U33" s="4">
        <f t="shared" si="33"/>
        <v>6.9999999999999751</v>
      </c>
      <c r="V33" s="21">
        <f t="shared" si="32"/>
        <v>73.000000000000057</v>
      </c>
      <c r="W33" s="22"/>
      <c r="X33" s="22"/>
      <c r="Y33" s="22"/>
      <c r="Z33" s="22"/>
      <c r="AA33" s="162"/>
      <c r="AB33" s="162"/>
      <c r="AC33" s="24"/>
      <c r="AD33" s="24"/>
      <c r="AE33" s="18">
        <f t="shared" si="28"/>
        <v>-99.45205479452261</v>
      </c>
      <c r="AF33" s="20">
        <f t="shared" si="29"/>
        <v>0.9585616438356156</v>
      </c>
      <c r="AG33" s="170"/>
    </row>
    <row r="34" spans="1:33" ht="15.75" customHeight="1">
      <c r="A34" s="191" t="s">
        <v>58</v>
      </c>
      <c r="B34" s="35" t="s">
        <v>97</v>
      </c>
      <c r="C34" s="190" t="s">
        <v>101</v>
      </c>
      <c r="D34" s="190"/>
      <c r="E34" s="35">
        <v>25.99</v>
      </c>
      <c r="F34" s="4">
        <v>2284</v>
      </c>
      <c r="G34" s="4">
        <f t="shared" si="30"/>
        <v>59361.159999999996</v>
      </c>
      <c r="H34" s="21" t="s">
        <v>133</v>
      </c>
      <c r="I34" s="15">
        <v>14</v>
      </c>
      <c r="J34" s="17">
        <v>2400</v>
      </c>
      <c r="K34" s="16">
        <f t="shared" si="23"/>
        <v>171.42857142857142</v>
      </c>
      <c r="L34" s="15">
        <v>14</v>
      </c>
      <c r="M34" s="17">
        <f t="shared" si="31"/>
        <v>2284.0000000000023</v>
      </c>
      <c r="N34" s="16">
        <f t="shared" si="24"/>
        <v>163.14285714285731</v>
      </c>
      <c r="O34" s="18">
        <f t="shared" si="25"/>
        <v>0</v>
      </c>
      <c r="P34" s="19">
        <f t="shared" si="26"/>
        <v>-8.2857142857141071</v>
      </c>
      <c r="Q34" s="20">
        <f t="shared" si="27"/>
        <v>0.95166666666666766</v>
      </c>
      <c r="R34" s="170"/>
      <c r="S34" s="27">
        <v>0.68749999999999989</v>
      </c>
      <c r="T34" s="27">
        <v>0.72916666666666652</v>
      </c>
      <c r="U34" s="4">
        <f t="shared" si="33"/>
        <v>6.9999999999999751</v>
      </c>
      <c r="V34" s="21">
        <f t="shared" si="32"/>
        <v>59.999999999999943</v>
      </c>
      <c r="W34" s="22"/>
      <c r="X34" s="22"/>
      <c r="Y34" s="22"/>
      <c r="Z34" s="22"/>
      <c r="AA34" s="162"/>
      <c r="AB34" s="162"/>
      <c r="AC34" s="24"/>
      <c r="AD34" s="24"/>
      <c r="AE34" s="18">
        <f t="shared" si="28"/>
        <v>-115.99999999999773</v>
      </c>
      <c r="AF34" s="20">
        <f t="shared" si="29"/>
        <v>0.95166666666666766</v>
      </c>
      <c r="AG34" s="170"/>
    </row>
    <row r="35" spans="1:33" ht="15.75" customHeight="1">
      <c r="A35" s="191" t="s">
        <v>56</v>
      </c>
      <c r="B35" s="35" t="s">
        <v>53</v>
      </c>
      <c r="C35" s="171"/>
      <c r="D35" s="171"/>
      <c r="E35" s="36"/>
      <c r="F35" s="4"/>
      <c r="G35" s="4"/>
      <c r="H35" s="4"/>
      <c r="I35" s="29">
        <v>18</v>
      </c>
      <c r="J35" s="17">
        <v>2400</v>
      </c>
      <c r="K35" s="16">
        <f t="shared" si="23"/>
        <v>133.33333333333334</v>
      </c>
      <c r="L35" s="29">
        <v>18</v>
      </c>
      <c r="M35" s="17">
        <f>AVERAGE(M27:M34)</f>
        <v>2296.6614200816143</v>
      </c>
      <c r="N35" s="16">
        <f t="shared" si="24"/>
        <v>127.59230111564524</v>
      </c>
      <c r="O35" s="18">
        <f t="shared" si="25"/>
        <v>0</v>
      </c>
      <c r="P35" s="19">
        <f t="shared" si="26"/>
        <v>-5.741032217688101</v>
      </c>
      <c r="Q35" s="20">
        <f t="shared" si="27"/>
        <v>0.95694225836733926</v>
      </c>
      <c r="R35" s="170"/>
      <c r="S35" s="27"/>
      <c r="T35" s="27"/>
      <c r="U35" s="4"/>
      <c r="V35" s="21"/>
      <c r="W35" s="4"/>
      <c r="X35" s="4"/>
      <c r="Y35" s="30">
        <f>SUM(Y27:Y34)</f>
        <v>0</v>
      </c>
      <c r="Z35" s="30">
        <f>SUM(Z27:Z34)</f>
        <v>0</v>
      </c>
      <c r="AA35" s="166"/>
      <c r="AB35" s="166"/>
      <c r="AC35" s="30">
        <v>8</v>
      </c>
      <c r="AD35" s="30">
        <f>SUM(AD27:AD34)</f>
        <v>0</v>
      </c>
      <c r="AE35" s="18">
        <f t="shared" si="28"/>
        <v>-103.33857991838568</v>
      </c>
      <c r="AF35" s="20">
        <f t="shared" si="29"/>
        <v>0.95694225836733926</v>
      </c>
      <c r="AG35" s="170"/>
    </row>
    <row r="36" spans="1:33" ht="15.75" customHeight="1">
      <c r="A36" s="188" t="s">
        <v>59</v>
      </c>
      <c r="B36" s="35" t="s">
        <v>97</v>
      </c>
      <c r="C36" s="163" t="s">
        <v>103</v>
      </c>
      <c r="D36" s="163"/>
      <c r="E36" s="35">
        <v>26.2</v>
      </c>
      <c r="F36" s="4">
        <v>4700</v>
      </c>
      <c r="G36" s="4">
        <f t="shared" ref="G36:G43" si="34">E36*F36</f>
        <v>123140</v>
      </c>
      <c r="H36" s="21">
        <v>2</v>
      </c>
      <c r="I36" s="15">
        <v>18</v>
      </c>
      <c r="J36" s="17">
        <v>2400</v>
      </c>
      <c r="K36" s="16">
        <f t="shared" si="23"/>
        <v>133.33333333333334</v>
      </c>
      <c r="L36" s="15">
        <v>18</v>
      </c>
      <c r="M36" s="17">
        <f t="shared" ref="M36:M43" si="35">F36/V36*60</f>
        <v>2292.682926829269</v>
      </c>
      <c r="N36" s="16">
        <f t="shared" si="24"/>
        <v>127.37127371273716</v>
      </c>
      <c r="O36" s="18">
        <f t="shared" si="25"/>
        <v>0</v>
      </c>
      <c r="P36" s="19">
        <f t="shared" si="26"/>
        <v>-5.9620596205961789</v>
      </c>
      <c r="Q36" s="20">
        <f t="shared" si="27"/>
        <v>0.95528455284552871</v>
      </c>
      <c r="R36" s="170">
        <f>Q44</f>
        <v>0.95411853313674344</v>
      </c>
      <c r="S36" s="27">
        <v>0.125</v>
      </c>
      <c r="T36" s="27">
        <v>0.21041666666666664</v>
      </c>
      <c r="U36" s="4"/>
      <c r="V36" s="21">
        <f t="shared" ref="V36:V43" si="36">(T36-S36)*24*60</f>
        <v>122.99999999999996</v>
      </c>
      <c r="W36" s="27">
        <f>T36</f>
        <v>0.21041666666666664</v>
      </c>
      <c r="X36" s="27">
        <f>S37</f>
        <v>0.23055555555555554</v>
      </c>
      <c r="Y36" s="27"/>
      <c r="Z36" s="27"/>
      <c r="AA36" s="162"/>
      <c r="AB36" s="162"/>
      <c r="AC36" s="24">
        <v>8</v>
      </c>
      <c r="AD36" s="24"/>
      <c r="AE36" s="18">
        <f t="shared" si="28"/>
        <v>-107.31707317073096</v>
      </c>
      <c r="AF36" s="20">
        <f t="shared" si="29"/>
        <v>0.95528455284552871</v>
      </c>
      <c r="AG36" s="170">
        <f>AF44</f>
        <v>0.95411853313674344</v>
      </c>
    </row>
    <row r="37" spans="1:33" ht="15.75" customHeight="1">
      <c r="A37" s="188" t="s">
        <v>60</v>
      </c>
      <c r="B37" s="35" t="s">
        <v>97</v>
      </c>
      <c r="C37" s="163" t="s">
        <v>104</v>
      </c>
      <c r="D37" s="163"/>
      <c r="E37" s="35">
        <v>20.52</v>
      </c>
      <c r="F37" s="4">
        <v>2800</v>
      </c>
      <c r="G37" s="4">
        <f t="shared" si="34"/>
        <v>57456</v>
      </c>
      <c r="H37" s="21">
        <v>2</v>
      </c>
      <c r="I37" s="15">
        <v>18</v>
      </c>
      <c r="J37" s="17">
        <v>2400</v>
      </c>
      <c r="K37" s="16">
        <f t="shared" si="23"/>
        <v>133.33333333333334</v>
      </c>
      <c r="L37" s="15">
        <v>18</v>
      </c>
      <c r="M37" s="17">
        <f t="shared" si="35"/>
        <v>2301.3698630136978</v>
      </c>
      <c r="N37" s="16">
        <f t="shared" si="24"/>
        <v>127.85388127853876</v>
      </c>
      <c r="O37" s="18">
        <f t="shared" si="25"/>
        <v>0</v>
      </c>
      <c r="P37" s="19">
        <f t="shared" si="26"/>
        <v>-5.479452054794578</v>
      </c>
      <c r="Q37" s="20">
        <f t="shared" si="27"/>
        <v>0.95890410958904071</v>
      </c>
      <c r="R37" s="170"/>
      <c r="S37" s="27">
        <v>0.23055555555555554</v>
      </c>
      <c r="T37" s="27">
        <v>0.28125</v>
      </c>
      <c r="U37" s="4">
        <f t="shared" ref="U37:U43" si="37">(S37-T36)*24*60</f>
        <v>29.000000000000018</v>
      </c>
      <c r="V37" s="21">
        <f t="shared" si="36"/>
        <v>73.000000000000014</v>
      </c>
      <c r="W37" s="4"/>
      <c r="X37" s="4"/>
      <c r="Y37" s="4"/>
      <c r="Z37" s="4"/>
      <c r="AA37" s="162"/>
      <c r="AB37" s="162"/>
      <c r="AC37" s="24"/>
      <c r="AD37" s="24"/>
      <c r="AE37" s="18">
        <f t="shared" si="28"/>
        <v>-98.630136986302205</v>
      </c>
      <c r="AF37" s="20">
        <f t="shared" si="29"/>
        <v>0.95890410958904071</v>
      </c>
      <c r="AG37" s="170"/>
    </row>
    <row r="38" spans="1:33">
      <c r="A38" s="189" t="s">
        <v>61</v>
      </c>
      <c r="B38" s="35" t="s">
        <v>97</v>
      </c>
      <c r="C38" s="163" t="s">
        <v>105</v>
      </c>
      <c r="D38" s="163"/>
      <c r="E38" s="35">
        <v>26.39</v>
      </c>
      <c r="F38" s="4">
        <v>4200</v>
      </c>
      <c r="G38" s="4">
        <f t="shared" si="34"/>
        <v>110838</v>
      </c>
      <c r="H38" s="21">
        <v>2</v>
      </c>
      <c r="I38" s="15">
        <v>19</v>
      </c>
      <c r="J38" s="17">
        <v>2400</v>
      </c>
      <c r="K38" s="16">
        <f t="shared" si="23"/>
        <v>126.31578947368421</v>
      </c>
      <c r="L38" s="15">
        <v>19</v>
      </c>
      <c r="M38" s="17">
        <f t="shared" si="35"/>
        <v>2290.909090909091</v>
      </c>
      <c r="N38" s="16">
        <f t="shared" si="24"/>
        <v>120.57416267942584</v>
      </c>
      <c r="O38" s="18">
        <f t="shared" si="25"/>
        <v>0</v>
      </c>
      <c r="P38" s="19">
        <f t="shared" si="26"/>
        <v>-5.7416267942583659</v>
      </c>
      <c r="Q38" s="20">
        <f t="shared" si="27"/>
        <v>0.95454545454545459</v>
      </c>
      <c r="R38" s="170"/>
      <c r="S38" s="27">
        <v>0.28541666666666665</v>
      </c>
      <c r="T38" s="27">
        <v>0.36180555555555555</v>
      </c>
      <c r="U38" s="4">
        <f t="shared" si="37"/>
        <v>5.9999999999999787</v>
      </c>
      <c r="V38" s="21">
        <f t="shared" si="36"/>
        <v>110.00000000000001</v>
      </c>
      <c r="W38" s="4"/>
      <c r="X38" s="4"/>
      <c r="Y38" s="4"/>
      <c r="Z38" s="4"/>
      <c r="AA38" s="162"/>
      <c r="AB38" s="162"/>
      <c r="AC38" s="24"/>
      <c r="AD38" s="24"/>
      <c r="AE38" s="18">
        <f t="shared" si="28"/>
        <v>-109.09090909090901</v>
      </c>
      <c r="AF38" s="20">
        <f t="shared" si="29"/>
        <v>0.95454545454545459</v>
      </c>
      <c r="AG38" s="170"/>
    </row>
    <row r="39" spans="1:33">
      <c r="A39" s="189" t="s">
        <v>60</v>
      </c>
      <c r="B39" s="35" t="s">
        <v>97</v>
      </c>
      <c r="C39" s="163" t="s">
        <v>106</v>
      </c>
      <c r="D39" s="163"/>
      <c r="E39" s="35">
        <v>20.21</v>
      </c>
      <c r="F39" s="4">
        <v>3771</v>
      </c>
      <c r="G39" s="4">
        <f t="shared" si="34"/>
        <v>76211.91</v>
      </c>
      <c r="H39" s="21" t="s">
        <v>133</v>
      </c>
      <c r="I39" s="15">
        <v>15</v>
      </c>
      <c r="J39" s="17">
        <v>2400</v>
      </c>
      <c r="K39" s="16">
        <f t="shared" si="23"/>
        <v>160</v>
      </c>
      <c r="L39" s="15">
        <v>15</v>
      </c>
      <c r="M39" s="17">
        <f t="shared" si="35"/>
        <v>2285.454545454546</v>
      </c>
      <c r="N39" s="16">
        <f t="shared" si="24"/>
        <v>152.3636363636364</v>
      </c>
      <c r="O39" s="18">
        <f t="shared" si="25"/>
        <v>0</v>
      </c>
      <c r="P39" s="19">
        <f t="shared" si="26"/>
        <v>-7.6363636363635976</v>
      </c>
      <c r="Q39" s="20">
        <f t="shared" si="27"/>
        <v>0.95227272727272749</v>
      </c>
      <c r="R39" s="170"/>
      <c r="S39" s="27">
        <v>0.3659722222222222</v>
      </c>
      <c r="T39" s="27">
        <v>0.43472222222222218</v>
      </c>
      <c r="U39" s="4">
        <f t="shared" si="37"/>
        <v>5.9999999999999787</v>
      </c>
      <c r="V39" s="21">
        <f t="shared" si="36"/>
        <v>98.999999999999972</v>
      </c>
      <c r="W39" s="22"/>
      <c r="X39" s="22"/>
      <c r="Y39" s="22"/>
      <c r="Z39" s="22"/>
      <c r="AA39" s="162"/>
      <c r="AB39" s="162"/>
      <c r="AC39" s="24"/>
      <c r="AD39" s="24"/>
      <c r="AE39" s="18">
        <f t="shared" si="28"/>
        <v>-114.54545454545405</v>
      </c>
      <c r="AF39" s="20">
        <f t="shared" si="29"/>
        <v>0.95227272727272749</v>
      </c>
      <c r="AG39" s="170"/>
    </row>
    <row r="40" spans="1:33">
      <c r="A40" s="189" t="s">
        <v>62</v>
      </c>
      <c r="B40" s="35" t="s">
        <v>97</v>
      </c>
      <c r="C40" s="163" t="s">
        <v>107</v>
      </c>
      <c r="D40" s="163"/>
      <c r="E40" s="35">
        <v>20.52</v>
      </c>
      <c r="F40" s="4">
        <v>3617</v>
      </c>
      <c r="G40" s="4">
        <f t="shared" si="34"/>
        <v>74220.84</v>
      </c>
      <c r="H40" s="21" t="s">
        <v>133</v>
      </c>
      <c r="I40" s="15">
        <v>18</v>
      </c>
      <c r="J40" s="17">
        <v>2400</v>
      </c>
      <c r="K40" s="16">
        <f t="shared" si="23"/>
        <v>133.33333333333334</v>
      </c>
      <c r="L40" s="15">
        <v>18</v>
      </c>
      <c r="M40" s="17">
        <f t="shared" si="35"/>
        <v>2284.4210526315778</v>
      </c>
      <c r="N40" s="16">
        <f t="shared" si="24"/>
        <v>126.91228070175433</v>
      </c>
      <c r="O40" s="18">
        <f t="shared" si="25"/>
        <v>0</v>
      </c>
      <c r="P40" s="19">
        <f t="shared" si="26"/>
        <v>-6.4210526315790162</v>
      </c>
      <c r="Q40" s="20">
        <f t="shared" si="27"/>
        <v>0.95184210526315738</v>
      </c>
      <c r="R40" s="170"/>
      <c r="S40" s="27">
        <v>0.44027777777777771</v>
      </c>
      <c r="T40" s="27">
        <v>0.50624999999999998</v>
      </c>
      <c r="U40" s="4">
        <f t="shared" si="37"/>
        <v>7.9999999999999716</v>
      </c>
      <c r="V40" s="21">
        <f t="shared" si="36"/>
        <v>95.000000000000057</v>
      </c>
      <c r="W40" s="22">
        <f>T40</f>
        <v>0.50624999999999998</v>
      </c>
      <c r="X40" s="22">
        <f>S41</f>
        <v>0.54652777777777772</v>
      </c>
      <c r="Y40" s="22"/>
      <c r="Z40" s="22"/>
      <c r="AA40" s="162"/>
      <c r="AB40" s="162"/>
      <c r="AC40" s="24"/>
      <c r="AD40" s="24"/>
      <c r="AE40" s="18">
        <f t="shared" si="28"/>
        <v>-115.57894736842218</v>
      </c>
      <c r="AF40" s="20">
        <f t="shared" si="29"/>
        <v>0.95184210526315738</v>
      </c>
      <c r="AG40" s="170"/>
    </row>
    <row r="41" spans="1:33">
      <c r="A41" s="189" t="s">
        <v>60</v>
      </c>
      <c r="B41" s="35" t="s">
        <v>97</v>
      </c>
      <c r="C41" s="163" t="s">
        <v>103</v>
      </c>
      <c r="D41" s="163"/>
      <c r="E41" s="35">
        <v>26.2</v>
      </c>
      <c r="F41" s="4">
        <v>3594</v>
      </c>
      <c r="G41" s="4">
        <f t="shared" si="34"/>
        <v>94162.8</v>
      </c>
      <c r="H41" s="21" t="s">
        <v>133</v>
      </c>
      <c r="I41" s="15">
        <v>18</v>
      </c>
      <c r="J41" s="17">
        <v>2400</v>
      </c>
      <c r="K41" s="16">
        <f t="shared" si="23"/>
        <v>133.33333333333334</v>
      </c>
      <c r="L41" s="15">
        <v>18</v>
      </c>
      <c r="M41" s="17">
        <f t="shared" si="35"/>
        <v>2294.0425531914898</v>
      </c>
      <c r="N41" s="16">
        <f t="shared" si="24"/>
        <v>127.44680851063832</v>
      </c>
      <c r="O41" s="18">
        <f t="shared" si="25"/>
        <v>0</v>
      </c>
      <c r="P41" s="19">
        <f t="shared" si="26"/>
        <v>-5.8865248226950229</v>
      </c>
      <c r="Q41" s="20">
        <f t="shared" si="27"/>
        <v>0.95585106382978735</v>
      </c>
      <c r="R41" s="170"/>
      <c r="S41" s="27">
        <v>0.54652777777777772</v>
      </c>
      <c r="T41" s="27">
        <v>0.61180555555555549</v>
      </c>
      <c r="U41" s="4">
        <f t="shared" si="37"/>
        <v>57.999999999999957</v>
      </c>
      <c r="V41" s="21">
        <f t="shared" si="36"/>
        <v>93.999999999999986</v>
      </c>
      <c r="W41" s="22"/>
      <c r="X41" s="22"/>
      <c r="Y41" s="22"/>
      <c r="Z41" s="22"/>
      <c r="AA41" s="162"/>
      <c r="AB41" s="162"/>
      <c r="AC41" s="24"/>
      <c r="AD41" s="24"/>
      <c r="AE41" s="18">
        <f t="shared" si="28"/>
        <v>-105.95744680851021</v>
      </c>
      <c r="AF41" s="20">
        <f t="shared" si="29"/>
        <v>0.95585106382978746</v>
      </c>
      <c r="AG41" s="170"/>
    </row>
    <row r="42" spans="1:33">
      <c r="A42" s="189" t="s">
        <v>63</v>
      </c>
      <c r="B42" s="35" t="s">
        <v>97</v>
      </c>
      <c r="C42" s="163" t="s">
        <v>105</v>
      </c>
      <c r="D42" s="163"/>
      <c r="E42" s="35">
        <v>26.39</v>
      </c>
      <c r="F42" s="4">
        <v>2973</v>
      </c>
      <c r="G42" s="4">
        <f t="shared" si="34"/>
        <v>78457.47</v>
      </c>
      <c r="H42" s="21" t="s">
        <v>133</v>
      </c>
      <c r="I42" s="15">
        <v>19</v>
      </c>
      <c r="J42" s="17">
        <v>2400</v>
      </c>
      <c r="K42" s="16">
        <f t="shared" si="23"/>
        <v>126.31578947368421</v>
      </c>
      <c r="L42" s="15">
        <v>19</v>
      </c>
      <c r="M42" s="17">
        <f t="shared" si="35"/>
        <v>2286.9230769230753</v>
      </c>
      <c r="N42" s="16">
        <f t="shared" si="24"/>
        <v>120.36437246963554</v>
      </c>
      <c r="O42" s="18">
        <f t="shared" si="25"/>
        <v>0</v>
      </c>
      <c r="P42" s="19">
        <f t="shared" si="26"/>
        <v>-5.9514170040486647</v>
      </c>
      <c r="Q42" s="20">
        <f t="shared" si="27"/>
        <v>0.95288461538461477</v>
      </c>
      <c r="R42" s="170"/>
      <c r="S42" s="27">
        <v>0.6152777777777777</v>
      </c>
      <c r="T42" s="27">
        <v>0.6694444444444444</v>
      </c>
      <c r="U42" s="4">
        <f t="shared" si="37"/>
        <v>4.9999999999999822</v>
      </c>
      <c r="V42" s="21">
        <f t="shared" si="36"/>
        <v>78.000000000000043</v>
      </c>
      <c r="W42" s="22"/>
      <c r="X42" s="22"/>
      <c r="Y42" s="25"/>
      <c r="Z42" s="25"/>
      <c r="AA42" s="176"/>
      <c r="AB42" s="177"/>
      <c r="AC42" s="24"/>
      <c r="AD42" s="24"/>
      <c r="AE42" s="18">
        <f t="shared" si="28"/>
        <v>-113.07692307692469</v>
      </c>
      <c r="AF42" s="20">
        <f t="shared" si="29"/>
        <v>0.95288461538461466</v>
      </c>
      <c r="AG42" s="170"/>
    </row>
    <row r="43" spans="1:33">
      <c r="A43" s="189" t="s">
        <v>59</v>
      </c>
      <c r="B43" s="35" t="s">
        <v>97</v>
      </c>
      <c r="C43" s="163" t="s">
        <v>104</v>
      </c>
      <c r="D43" s="163"/>
      <c r="E43" s="35">
        <v>20.52</v>
      </c>
      <c r="F43" s="4">
        <v>2093</v>
      </c>
      <c r="G43" s="4">
        <f t="shared" si="34"/>
        <v>42948.36</v>
      </c>
      <c r="H43" s="21" t="s">
        <v>133</v>
      </c>
      <c r="I43" s="15">
        <v>18</v>
      </c>
      <c r="J43" s="17">
        <v>2400</v>
      </c>
      <c r="K43" s="16">
        <f t="shared" si="23"/>
        <v>133.33333333333334</v>
      </c>
      <c r="L43" s="15">
        <v>18</v>
      </c>
      <c r="M43" s="17">
        <f t="shared" si="35"/>
        <v>2283.2727272727284</v>
      </c>
      <c r="N43" s="16">
        <f t="shared" si="24"/>
        <v>126.84848484848492</v>
      </c>
      <c r="O43" s="18">
        <f t="shared" si="25"/>
        <v>0</v>
      </c>
      <c r="P43" s="19">
        <f t="shared" si="26"/>
        <v>-6.4848484848484276</v>
      </c>
      <c r="Q43" s="20">
        <f t="shared" si="27"/>
        <v>0.95136363636363674</v>
      </c>
      <c r="R43" s="170"/>
      <c r="S43" s="27">
        <v>0.67291666666666661</v>
      </c>
      <c r="T43" s="27">
        <v>0.71111111111111103</v>
      </c>
      <c r="U43" s="4">
        <f t="shared" si="37"/>
        <v>4.9999999999999822</v>
      </c>
      <c r="V43" s="21">
        <f t="shared" si="36"/>
        <v>54.999999999999964</v>
      </c>
      <c r="W43" s="22"/>
      <c r="X43" s="22"/>
      <c r="Y43" s="25"/>
      <c r="Z43" s="25"/>
      <c r="AA43" s="176"/>
      <c r="AB43" s="177"/>
      <c r="AC43" s="24"/>
      <c r="AD43" s="24"/>
      <c r="AE43" s="18">
        <f t="shared" si="28"/>
        <v>-116.72727272727161</v>
      </c>
      <c r="AF43" s="20">
        <f t="shared" si="29"/>
        <v>0.95136363636363686</v>
      </c>
      <c r="AG43" s="170"/>
    </row>
    <row r="44" spans="1:33">
      <c r="A44" s="189" t="s">
        <v>64</v>
      </c>
      <c r="B44" s="16" t="s">
        <v>65</v>
      </c>
      <c r="C44" s="171"/>
      <c r="D44" s="171"/>
      <c r="E44" s="36"/>
      <c r="F44" s="16"/>
      <c r="G44" s="16"/>
      <c r="H44" s="4"/>
      <c r="I44" s="29">
        <v>17.875</v>
      </c>
      <c r="J44" s="17">
        <v>2400</v>
      </c>
      <c r="K44" s="16">
        <f t="shared" si="23"/>
        <v>134.26573426573427</v>
      </c>
      <c r="L44" s="29">
        <v>17.875</v>
      </c>
      <c r="M44" s="17">
        <f>AVERAGE(M36:M43)</f>
        <v>2289.8844795281843</v>
      </c>
      <c r="N44" s="16">
        <f t="shared" si="24"/>
        <v>128.10542542815017</v>
      </c>
      <c r="O44" s="18">
        <f t="shared" si="25"/>
        <v>0</v>
      </c>
      <c r="P44" s="19">
        <f t="shared" si="26"/>
        <v>-6.1603088375840969</v>
      </c>
      <c r="Q44" s="20">
        <f t="shared" si="27"/>
        <v>0.95411853313674344</v>
      </c>
      <c r="R44" s="170"/>
      <c r="S44" s="27"/>
      <c r="T44" s="27"/>
      <c r="U44" s="16"/>
      <c r="V44" s="21"/>
      <c r="W44" s="16"/>
      <c r="X44" s="16"/>
      <c r="Y44" s="30">
        <f>SUM(Y36:Y43)</f>
        <v>0</v>
      </c>
      <c r="Z44" s="30">
        <f>SUM(Z36:Z43)</f>
        <v>0</v>
      </c>
      <c r="AA44" s="166"/>
      <c r="AB44" s="166"/>
      <c r="AC44" s="30">
        <v>8</v>
      </c>
      <c r="AD44" s="30">
        <f>SUM(AD36:AD43)</f>
        <v>0</v>
      </c>
      <c r="AE44" s="18">
        <f t="shared" si="28"/>
        <v>-110.11552047181567</v>
      </c>
      <c r="AF44" s="20">
        <f t="shared" si="29"/>
        <v>0.95411853313674344</v>
      </c>
      <c r="AG44" s="170"/>
    </row>
    <row r="45" spans="1:33" ht="15.75" customHeight="1">
      <c r="A45" s="182" t="s">
        <v>66</v>
      </c>
      <c r="B45" s="35" t="s">
        <v>108</v>
      </c>
      <c r="C45" s="174" t="s">
        <v>109</v>
      </c>
      <c r="D45" s="175"/>
      <c r="E45" s="35">
        <v>34.36</v>
      </c>
      <c r="F45" s="4">
        <v>2839</v>
      </c>
      <c r="G45" s="4">
        <f t="shared" ref="G45:G51" si="38">E45*F45</f>
        <v>97548.04</v>
      </c>
      <c r="H45" s="21" t="s">
        <v>133</v>
      </c>
      <c r="I45" s="15">
        <v>10</v>
      </c>
      <c r="J45" s="17">
        <v>3000</v>
      </c>
      <c r="K45" s="16">
        <f t="shared" si="23"/>
        <v>300</v>
      </c>
      <c r="L45" s="15">
        <v>10</v>
      </c>
      <c r="M45" s="17">
        <f t="shared" ref="M45:M51" si="39">F45/V45*60</f>
        <v>2887.118644067797</v>
      </c>
      <c r="N45" s="17">
        <f t="shared" si="24"/>
        <v>288.71186440677968</v>
      </c>
      <c r="O45" s="18">
        <f t="shared" si="25"/>
        <v>0</v>
      </c>
      <c r="P45" s="19">
        <f t="shared" si="26"/>
        <v>-11.288135593220318</v>
      </c>
      <c r="Q45" s="20">
        <f t="shared" si="27"/>
        <v>0.96237288135593224</v>
      </c>
      <c r="R45" s="185">
        <f>Q52</f>
        <v>0.95904751152470769</v>
      </c>
      <c r="S45" s="27">
        <v>0.20833333333333334</v>
      </c>
      <c r="T45" s="27">
        <v>0.24930555555555556</v>
      </c>
      <c r="U45" s="27"/>
      <c r="V45" s="21">
        <f t="shared" ref="V45:V51" si="40">(T45-S45)*24*60</f>
        <v>58.999999999999993</v>
      </c>
      <c r="W45" s="22"/>
      <c r="X45" s="22"/>
      <c r="Y45" s="25"/>
      <c r="Z45" s="25"/>
      <c r="AA45" s="176"/>
      <c r="AB45" s="177"/>
      <c r="AC45" s="24">
        <v>7</v>
      </c>
      <c r="AD45" s="24"/>
      <c r="AE45" s="18">
        <f t="shared" si="28"/>
        <v>-112.88135593220295</v>
      </c>
      <c r="AF45" s="20">
        <f t="shared" si="29"/>
        <v>0.96237288135593235</v>
      </c>
      <c r="AG45" s="185">
        <f>AF52</f>
        <v>0.95904751152470769</v>
      </c>
    </row>
    <row r="46" spans="1:33" ht="15.75" customHeight="1">
      <c r="A46" s="183" t="s">
        <v>67</v>
      </c>
      <c r="B46" s="35" t="s">
        <v>108</v>
      </c>
      <c r="C46" s="174" t="s">
        <v>110</v>
      </c>
      <c r="D46" s="175"/>
      <c r="E46" s="35">
        <v>26.78</v>
      </c>
      <c r="F46" s="4">
        <v>3273</v>
      </c>
      <c r="G46" s="4">
        <f t="shared" si="38"/>
        <v>87650.94</v>
      </c>
      <c r="H46" s="21" t="s">
        <v>133</v>
      </c>
      <c r="I46" s="15">
        <v>10</v>
      </c>
      <c r="J46" s="17">
        <v>3000</v>
      </c>
      <c r="K46" s="16">
        <f t="shared" si="23"/>
        <v>300</v>
      </c>
      <c r="L46" s="15">
        <v>10</v>
      </c>
      <c r="M46" s="17">
        <f t="shared" si="39"/>
        <v>2887.9411764705883</v>
      </c>
      <c r="N46" s="17">
        <f t="shared" si="24"/>
        <v>288.79411764705884</v>
      </c>
      <c r="O46" s="18">
        <f t="shared" si="25"/>
        <v>0</v>
      </c>
      <c r="P46" s="19">
        <f t="shared" si="26"/>
        <v>-11.20588235294116</v>
      </c>
      <c r="Q46" s="20">
        <f t="shared" si="27"/>
        <v>0.96264705882352952</v>
      </c>
      <c r="R46" s="186"/>
      <c r="S46" s="27">
        <v>0.25347222222222221</v>
      </c>
      <c r="T46" s="27">
        <v>0.30069444444444443</v>
      </c>
      <c r="U46" s="4">
        <f t="shared" ref="U46:U51" si="41">(S46-T45)*24*60</f>
        <v>5.9999999999999787</v>
      </c>
      <c r="V46" s="21">
        <f t="shared" si="40"/>
        <v>68</v>
      </c>
      <c r="W46" s="22"/>
      <c r="X46" s="22"/>
      <c r="Y46" s="25"/>
      <c r="Z46" s="25"/>
      <c r="AA46" s="176"/>
      <c r="AB46" s="177"/>
      <c r="AC46" s="24"/>
      <c r="AD46" s="24"/>
      <c r="AE46" s="18">
        <f t="shared" si="28"/>
        <v>-112.05882352941171</v>
      </c>
      <c r="AF46" s="20">
        <f t="shared" si="29"/>
        <v>0.96264705882352941</v>
      </c>
      <c r="AG46" s="186"/>
    </row>
    <row r="47" spans="1:33" ht="15.75" customHeight="1">
      <c r="A47" s="183" t="s">
        <v>68</v>
      </c>
      <c r="B47" s="35" t="s">
        <v>108</v>
      </c>
      <c r="C47" s="174" t="s">
        <v>111</v>
      </c>
      <c r="D47" s="175"/>
      <c r="E47" s="35">
        <v>21.13</v>
      </c>
      <c r="F47" s="4">
        <v>3700</v>
      </c>
      <c r="G47" s="4">
        <f t="shared" si="38"/>
        <v>78181</v>
      </c>
      <c r="H47" s="21">
        <v>2</v>
      </c>
      <c r="I47" s="15">
        <v>10</v>
      </c>
      <c r="J47" s="17">
        <v>3000</v>
      </c>
      <c r="K47" s="16">
        <f t="shared" si="23"/>
        <v>300</v>
      </c>
      <c r="L47" s="15">
        <v>10</v>
      </c>
      <c r="M47" s="17">
        <f t="shared" si="39"/>
        <v>2883.1168831168839</v>
      </c>
      <c r="N47" s="17">
        <f t="shared" si="24"/>
        <v>288.31168831168839</v>
      </c>
      <c r="O47" s="18">
        <f t="shared" si="25"/>
        <v>0</v>
      </c>
      <c r="P47" s="19">
        <f t="shared" si="26"/>
        <v>-11.688311688311614</v>
      </c>
      <c r="Q47" s="20">
        <f t="shared" si="27"/>
        <v>0.96103896103896125</v>
      </c>
      <c r="R47" s="186"/>
      <c r="S47" s="27">
        <v>0.30486111111111108</v>
      </c>
      <c r="T47" s="27">
        <v>0.35833333333333328</v>
      </c>
      <c r="U47" s="4">
        <f t="shared" si="41"/>
        <v>5.9999999999999787</v>
      </c>
      <c r="V47" s="21">
        <f t="shared" si="40"/>
        <v>76.999999999999972</v>
      </c>
      <c r="W47" s="22"/>
      <c r="X47" s="22"/>
      <c r="Y47" s="25"/>
      <c r="Z47" s="25"/>
      <c r="AA47" s="176"/>
      <c r="AB47" s="177"/>
      <c r="AC47" s="24"/>
      <c r="AD47" s="24"/>
      <c r="AE47" s="18">
        <f t="shared" si="28"/>
        <v>-116.88311688311614</v>
      </c>
      <c r="AF47" s="20">
        <f t="shared" si="29"/>
        <v>0.96103896103896125</v>
      </c>
      <c r="AG47" s="186"/>
    </row>
    <row r="48" spans="1:33" ht="15.75" customHeight="1">
      <c r="A48" s="183" t="s">
        <v>69</v>
      </c>
      <c r="B48" s="35" t="s">
        <v>108</v>
      </c>
      <c r="C48" s="174" t="s">
        <v>112</v>
      </c>
      <c r="D48" s="175"/>
      <c r="E48" s="35">
        <v>27.17</v>
      </c>
      <c r="F48" s="4">
        <v>4800</v>
      </c>
      <c r="G48" s="4">
        <f t="shared" si="38"/>
        <v>130416.00000000001</v>
      </c>
      <c r="H48" s="21">
        <v>2</v>
      </c>
      <c r="I48" s="15">
        <v>10</v>
      </c>
      <c r="J48" s="17">
        <v>3000</v>
      </c>
      <c r="K48" s="16">
        <f t="shared" si="23"/>
        <v>300</v>
      </c>
      <c r="L48" s="15">
        <v>10</v>
      </c>
      <c r="M48" s="17">
        <f t="shared" si="39"/>
        <v>2880.0000000000009</v>
      </c>
      <c r="N48" s="17">
        <f t="shared" si="24"/>
        <v>288.00000000000011</v>
      </c>
      <c r="O48" s="18">
        <f t="shared" si="25"/>
        <v>0</v>
      </c>
      <c r="P48" s="19">
        <f t="shared" si="26"/>
        <v>-11.999999999999886</v>
      </c>
      <c r="Q48" s="20">
        <f t="shared" si="27"/>
        <v>0.96000000000000041</v>
      </c>
      <c r="R48" s="186"/>
      <c r="S48" s="27">
        <v>0.36388888888888882</v>
      </c>
      <c r="T48" s="27">
        <v>0.43333333333333324</v>
      </c>
      <c r="U48" s="4">
        <f t="shared" si="41"/>
        <v>7.9999999999999716</v>
      </c>
      <c r="V48" s="21">
        <f t="shared" si="40"/>
        <v>99.999999999999972</v>
      </c>
      <c r="W48" s="22"/>
      <c r="X48" s="22"/>
      <c r="Y48" s="25"/>
      <c r="Z48" s="25"/>
      <c r="AA48" s="176"/>
      <c r="AB48" s="177"/>
      <c r="AC48" s="24"/>
      <c r="AD48" s="24"/>
      <c r="AE48" s="18">
        <f t="shared" si="28"/>
        <v>-119.99999999999909</v>
      </c>
      <c r="AF48" s="20">
        <f t="shared" si="29"/>
        <v>0.9600000000000003</v>
      </c>
      <c r="AG48" s="186"/>
    </row>
    <row r="49" spans="1:33" ht="15.75" customHeight="1">
      <c r="A49" s="183" t="s">
        <v>69</v>
      </c>
      <c r="B49" s="35" t="s">
        <v>108</v>
      </c>
      <c r="C49" s="174" t="s">
        <v>113</v>
      </c>
      <c r="D49" s="175"/>
      <c r="E49" s="35">
        <v>35.869999999999997</v>
      </c>
      <c r="F49" s="4">
        <v>4478</v>
      </c>
      <c r="G49" s="4">
        <f t="shared" si="38"/>
        <v>160625.85999999999</v>
      </c>
      <c r="H49" s="21" t="s">
        <v>133</v>
      </c>
      <c r="I49" s="15">
        <v>9</v>
      </c>
      <c r="J49" s="17">
        <v>3000</v>
      </c>
      <c r="K49" s="16">
        <f t="shared" si="23"/>
        <v>333.33333333333331</v>
      </c>
      <c r="L49" s="15">
        <v>9</v>
      </c>
      <c r="M49" s="17">
        <f t="shared" si="39"/>
        <v>2858.2978723404258</v>
      </c>
      <c r="N49" s="17">
        <f t="shared" si="24"/>
        <v>317.58865248226954</v>
      </c>
      <c r="O49" s="18">
        <f t="shared" si="25"/>
        <v>0</v>
      </c>
      <c r="P49" s="19">
        <f t="shared" si="26"/>
        <v>-15.744680851063777</v>
      </c>
      <c r="Q49" s="20">
        <f t="shared" si="27"/>
        <v>0.9527659574468087</v>
      </c>
      <c r="R49" s="186"/>
      <c r="S49" s="27">
        <v>0.43888888888888877</v>
      </c>
      <c r="T49" s="27">
        <v>0.50416666666666654</v>
      </c>
      <c r="U49" s="4">
        <f t="shared" si="41"/>
        <v>7.9999999999999716</v>
      </c>
      <c r="V49" s="21">
        <f t="shared" si="40"/>
        <v>93.999999999999986</v>
      </c>
      <c r="W49" s="22">
        <f>T49</f>
        <v>0.50416666666666654</v>
      </c>
      <c r="X49" s="22">
        <f>S50</f>
        <v>0.54444444444444429</v>
      </c>
      <c r="Y49" s="25"/>
      <c r="Z49" s="25"/>
      <c r="AA49" s="176"/>
      <c r="AB49" s="177"/>
      <c r="AC49" s="24"/>
      <c r="AD49" s="24"/>
      <c r="AE49" s="18">
        <f t="shared" si="28"/>
        <v>-141.70212765957422</v>
      </c>
      <c r="AF49" s="20">
        <f t="shared" si="29"/>
        <v>0.95276595744680859</v>
      </c>
      <c r="AG49" s="186"/>
    </row>
    <row r="50" spans="1:33" ht="15.75" customHeight="1">
      <c r="A50" s="183" t="s">
        <v>70</v>
      </c>
      <c r="B50" s="35" t="s">
        <v>108</v>
      </c>
      <c r="C50" s="174" t="s">
        <v>111</v>
      </c>
      <c r="D50" s="175"/>
      <c r="E50" s="35">
        <v>21.13</v>
      </c>
      <c r="F50" s="4">
        <v>2687</v>
      </c>
      <c r="G50" s="4">
        <f t="shared" si="38"/>
        <v>56776.31</v>
      </c>
      <c r="H50" s="21" t="s">
        <v>133</v>
      </c>
      <c r="I50" s="15">
        <v>10</v>
      </c>
      <c r="J50" s="17">
        <v>3000</v>
      </c>
      <c r="K50" s="16">
        <f t="shared" si="23"/>
        <v>300</v>
      </c>
      <c r="L50" s="15">
        <v>10</v>
      </c>
      <c r="M50" s="17">
        <f t="shared" si="39"/>
        <v>2878.9285714285738</v>
      </c>
      <c r="N50" s="17">
        <f t="shared" si="24"/>
        <v>287.89285714285739</v>
      </c>
      <c r="O50" s="18">
        <f t="shared" si="25"/>
        <v>0</v>
      </c>
      <c r="P50" s="19">
        <f t="shared" si="26"/>
        <v>-12.107142857142605</v>
      </c>
      <c r="Q50" s="20">
        <f t="shared" si="27"/>
        <v>0.95964285714285802</v>
      </c>
      <c r="R50" s="186"/>
      <c r="S50" s="27">
        <v>0.54444444444444429</v>
      </c>
      <c r="T50" s="27">
        <v>0.58333333333333315</v>
      </c>
      <c r="U50" s="4">
        <f t="shared" si="41"/>
        <v>57.999999999999957</v>
      </c>
      <c r="V50" s="21">
        <f t="shared" si="40"/>
        <v>55.999999999999957</v>
      </c>
      <c r="W50" s="22"/>
      <c r="X50" s="22"/>
      <c r="Y50" s="25"/>
      <c r="Z50" s="25"/>
      <c r="AA50" s="176"/>
      <c r="AB50" s="177"/>
      <c r="AC50" s="24"/>
      <c r="AD50" s="24"/>
      <c r="AE50" s="18">
        <f t="shared" si="28"/>
        <v>-121.07142857142617</v>
      </c>
      <c r="AF50" s="20">
        <f t="shared" si="29"/>
        <v>0.95964285714285791</v>
      </c>
      <c r="AG50" s="186"/>
    </row>
    <row r="51" spans="1:33" ht="15.75" customHeight="1">
      <c r="A51" s="183" t="s">
        <v>71</v>
      </c>
      <c r="B51" s="35" t="s">
        <v>108</v>
      </c>
      <c r="C51" s="174" t="s">
        <v>112</v>
      </c>
      <c r="D51" s="175"/>
      <c r="E51" s="35">
        <v>27.17</v>
      </c>
      <c r="F51" s="4">
        <v>3533</v>
      </c>
      <c r="G51" s="4">
        <f t="shared" si="38"/>
        <v>95991.61</v>
      </c>
      <c r="H51" s="21" t="s">
        <v>133</v>
      </c>
      <c r="I51" s="15">
        <v>10</v>
      </c>
      <c r="J51" s="17">
        <v>3000</v>
      </c>
      <c r="K51" s="16">
        <f t="shared" si="23"/>
        <v>300</v>
      </c>
      <c r="L51" s="15">
        <v>10</v>
      </c>
      <c r="M51" s="17">
        <f t="shared" si="39"/>
        <v>2864.5945945945923</v>
      </c>
      <c r="N51" s="17">
        <f t="shared" si="24"/>
        <v>286.45945945945925</v>
      </c>
      <c r="O51" s="18">
        <f t="shared" si="25"/>
        <v>0</v>
      </c>
      <c r="P51" s="19">
        <f t="shared" si="26"/>
        <v>-13.540540540540746</v>
      </c>
      <c r="Q51" s="20">
        <f t="shared" si="27"/>
        <v>0.95486486486486422</v>
      </c>
      <c r="R51" s="186"/>
      <c r="S51" s="27">
        <v>0.58680555555555536</v>
      </c>
      <c r="T51" s="27">
        <v>0.63819444444444429</v>
      </c>
      <c r="U51" s="4">
        <f t="shared" si="41"/>
        <v>4.9999999999999822</v>
      </c>
      <c r="V51" s="21">
        <f t="shared" si="40"/>
        <v>74.000000000000057</v>
      </c>
      <c r="W51" s="22"/>
      <c r="X51" s="22"/>
      <c r="Y51" s="25"/>
      <c r="Z51" s="25"/>
      <c r="AA51" s="176"/>
      <c r="AB51" s="177"/>
      <c r="AC51" s="24"/>
      <c r="AD51" s="24"/>
      <c r="AE51" s="18">
        <f t="shared" si="28"/>
        <v>-135.40540540540769</v>
      </c>
      <c r="AF51" s="20">
        <f t="shared" si="29"/>
        <v>0.9548648648648641</v>
      </c>
      <c r="AG51" s="186"/>
    </row>
    <row r="52" spans="1:33" ht="15.75" customHeight="1">
      <c r="A52" s="184" t="s">
        <v>66</v>
      </c>
      <c r="B52" s="35" t="s">
        <v>53</v>
      </c>
      <c r="C52" s="164"/>
      <c r="D52" s="165"/>
      <c r="E52" s="37"/>
      <c r="F52" s="4"/>
      <c r="G52" s="4"/>
      <c r="H52" s="4"/>
      <c r="I52" s="29">
        <v>9.8571428571428577</v>
      </c>
      <c r="J52" s="17">
        <v>3000</v>
      </c>
      <c r="K52" s="16">
        <f t="shared" si="23"/>
        <v>304.3478260869565</v>
      </c>
      <c r="L52" s="29">
        <v>9.8571428571428577</v>
      </c>
      <c r="M52" s="17">
        <f>AVERAGE(M45:M51)</f>
        <v>2877.1425345741231</v>
      </c>
      <c r="N52" s="16">
        <f t="shared" si="24"/>
        <v>291.88402524665014</v>
      </c>
      <c r="O52" s="18">
        <f t="shared" si="25"/>
        <v>0</v>
      </c>
      <c r="P52" s="19">
        <f t="shared" si="26"/>
        <v>-12.463800840306362</v>
      </c>
      <c r="Q52" s="20">
        <f t="shared" si="27"/>
        <v>0.95904751152470769</v>
      </c>
      <c r="R52" s="187"/>
      <c r="S52" s="27"/>
      <c r="T52" s="27"/>
      <c r="U52" s="4"/>
      <c r="V52" s="21"/>
      <c r="W52" s="22"/>
      <c r="X52" s="22"/>
      <c r="Y52" s="30">
        <f>SUM(Y45:Y51)</f>
        <v>0</v>
      </c>
      <c r="Z52" s="30">
        <f>SUM(Z45:Z51)</f>
        <v>0</v>
      </c>
      <c r="AA52" s="180"/>
      <c r="AB52" s="181"/>
      <c r="AC52" s="30">
        <v>7</v>
      </c>
      <c r="AD52" s="30">
        <f>SUM(AD45:AD51)</f>
        <v>0</v>
      </c>
      <c r="AE52" s="18">
        <f t="shared" si="28"/>
        <v>-122.85746542587685</v>
      </c>
      <c r="AF52" s="20">
        <f t="shared" si="29"/>
        <v>0.95904751152470769</v>
      </c>
      <c r="AG52" s="187"/>
    </row>
    <row r="53" spans="1:33" ht="15.75" customHeight="1">
      <c r="A53" s="178" t="s">
        <v>72</v>
      </c>
      <c r="B53" s="35" t="s">
        <v>84</v>
      </c>
      <c r="C53" s="163" t="s">
        <v>114</v>
      </c>
      <c r="D53" s="163"/>
      <c r="E53" s="35">
        <v>46</v>
      </c>
      <c r="F53" s="38">
        <v>2081</v>
      </c>
      <c r="G53" s="4">
        <f t="shared" ref="G53:G61" si="42">E53*F53</f>
        <v>95726</v>
      </c>
      <c r="H53" s="21" t="s">
        <v>133</v>
      </c>
      <c r="I53" s="15">
        <v>17</v>
      </c>
      <c r="J53" s="17">
        <v>2000</v>
      </c>
      <c r="K53" s="16">
        <f t="shared" si="23"/>
        <v>117.64705882352941</v>
      </c>
      <c r="L53" s="15">
        <v>17</v>
      </c>
      <c r="M53" s="17">
        <f t="shared" ref="M53:M61" si="43">F53/V53*60</f>
        <v>1920.9230769230776</v>
      </c>
      <c r="N53" s="17">
        <f t="shared" si="24"/>
        <v>112.99547511312221</v>
      </c>
      <c r="O53" s="18">
        <f t="shared" si="25"/>
        <v>0</v>
      </c>
      <c r="P53" s="19">
        <f t="shared" si="26"/>
        <v>-4.6515837104071949</v>
      </c>
      <c r="Q53" s="20">
        <f t="shared" si="27"/>
        <v>0.96046153846153881</v>
      </c>
      <c r="R53" s="170">
        <f>Q62</f>
        <v>0.94421948190357941</v>
      </c>
      <c r="S53" s="27">
        <v>0.20833333333333334</v>
      </c>
      <c r="T53" s="27">
        <v>0.25347222222222221</v>
      </c>
      <c r="U53" s="27"/>
      <c r="V53" s="21">
        <f t="shared" ref="V53:V61" si="44">(T53-S53)*24*60</f>
        <v>64.999999999999972</v>
      </c>
      <c r="W53" s="27"/>
      <c r="X53" s="27"/>
      <c r="Y53" s="27"/>
      <c r="Z53" s="27"/>
      <c r="AA53" s="162"/>
      <c r="AB53" s="162"/>
      <c r="AC53" s="24">
        <v>9</v>
      </c>
      <c r="AD53" s="24"/>
      <c r="AE53" s="18">
        <f t="shared" si="28"/>
        <v>-79.076923076922412</v>
      </c>
      <c r="AF53" s="20">
        <f t="shared" si="29"/>
        <v>0.96046153846153881</v>
      </c>
      <c r="AG53" s="170">
        <f>AF62</f>
        <v>0.94421948190357941</v>
      </c>
    </row>
    <row r="54" spans="1:33" ht="15.75" customHeight="1">
      <c r="A54" s="178" t="s">
        <v>72</v>
      </c>
      <c r="B54" s="35" t="s">
        <v>78</v>
      </c>
      <c r="C54" s="163" t="s">
        <v>115</v>
      </c>
      <c r="D54" s="163"/>
      <c r="E54" s="35">
        <v>56.43</v>
      </c>
      <c r="F54" s="38">
        <v>2220</v>
      </c>
      <c r="G54" s="4">
        <f t="shared" si="42"/>
        <v>125274.6</v>
      </c>
      <c r="H54" s="21" t="s">
        <v>133</v>
      </c>
      <c r="I54" s="15">
        <v>22</v>
      </c>
      <c r="J54" s="17">
        <v>2000</v>
      </c>
      <c r="K54" s="16">
        <f t="shared" si="23"/>
        <v>90.909090909090907</v>
      </c>
      <c r="L54" s="15">
        <v>22</v>
      </c>
      <c r="M54" s="17">
        <f t="shared" si="43"/>
        <v>1824.6575342465758</v>
      </c>
      <c r="N54" s="17">
        <f t="shared" si="24"/>
        <v>82.938978829389811</v>
      </c>
      <c r="O54" s="18">
        <f t="shared" si="25"/>
        <v>0</v>
      </c>
      <c r="P54" s="19">
        <f t="shared" si="26"/>
        <v>-7.9701120797010958</v>
      </c>
      <c r="Q54" s="20">
        <f t="shared" si="27"/>
        <v>0.91232876712328792</v>
      </c>
      <c r="R54" s="170"/>
      <c r="S54" s="27">
        <v>0.2583333333333333</v>
      </c>
      <c r="T54" s="27">
        <v>0.30902777777777773</v>
      </c>
      <c r="U54" s="4">
        <f t="shared" ref="U54:U61" si="45">IF(S54=TIME(17,0,0),"",(S54-T53)*24*60)</f>
        <v>6.9999999999999751</v>
      </c>
      <c r="V54" s="21">
        <f t="shared" si="44"/>
        <v>72.999999999999986</v>
      </c>
      <c r="W54" s="22"/>
      <c r="X54" s="22"/>
      <c r="Y54" s="22"/>
      <c r="Z54" s="22"/>
      <c r="AA54" s="162"/>
      <c r="AB54" s="162"/>
      <c r="AC54" s="24"/>
      <c r="AD54" s="24"/>
      <c r="AE54" s="18">
        <f t="shared" si="28"/>
        <v>-175.34246575342422</v>
      </c>
      <c r="AF54" s="20">
        <f t="shared" si="29"/>
        <v>0.91232876712328792</v>
      </c>
      <c r="AG54" s="170"/>
    </row>
    <row r="55" spans="1:33" ht="15.75" customHeight="1">
      <c r="A55" s="178" t="s">
        <v>73</v>
      </c>
      <c r="B55" s="35" t="s">
        <v>78</v>
      </c>
      <c r="C55" s="174" t="s">
        <v>116</v>
      </c>
      <c r="D55" s="175"/>
      <c r="E55" s="35">
        <v>51.75</v>
      </c>
      <c r="F55" s="38">
        <v>1772</v>
      </c>
      <c r="G55" s="4">
        <f t="shared" si="42"/>
        <v>91701</v>
      </c>
      <c r="H55" s="21" t="s">
        <v>133</v>
      </c>
      <c r="I55" s="15">
        <v>25</v>
      </c>
      <c r="J55" s="17">
        <v>2000</v>
      </c>
      <c r="K55" s="16">
        <f t="shared" ref="K55:K78" si="46">J55/I55</f>
        <v>80</v>
      </c>
      <c r="L55" s="15">
        <v>25</v>
      </c>
      <c r="M55" s="17">
        <f t="shared" si="43"/>
        <v>1802.0338983050838</v>
      </c>
      <c r="N55" s="17">
        <f t="shared" ref="N55:N78" si="47">M55/L55</f>
        <v>72.081355932203351</v>
      </c>
      <c r="O55" s="18">
        <f t="shared" ref="O55:O78" si="48">L55-I55</f>
        <v>0</v>
      </c>
      <c r="P55" s="19">
        <f t="shared" ref="P55:P78" si="49">N55-K55</f>
        <v>-7.9186440677966488</v>
      </c>
      <c r="Q55" s="20">
        <f t="shared" ref="Q55:Q78" si="50">N55/K55</f>
        <v>0.90101694915254193</v>
      </c>
      <c r="R55" s="170"/>
      <c r="S55" s="27">
        <v>0.31249999999999994</v>
      </c>
      <c r="T55" s="27">
        <v>0.35347222222222219</v>
      </c>
      <c r="U55" s="4">
        <f t="shared" si="45"/>
        <v>4.9999999999999822</v>
      </c>
      <c r="V55" s="21">
        <f t="shared" si="44"/>
        <v>59.000000000000028</v>
      </c>
      <c r="W55" s="22"/>
      <c r="X55" s="22"/>
      <c r="Y55" s="25"/>
      <c r="Z55" s="25"/>
      <c r="AA55" s="162"/>
      <c r="AB55" s="162"/>
      <c r="AC55" s="24"/>
      <c r="AD55" s="24"/>
      <c r="AE55" s="18">
        <f t="shared" ref="AE55:AE61" si="51">M55-J55</f>
        <v>-197.96610169491623</v>
      </c>
      <c r="AF55" s="20">
        <f t="shared" ref="AF55:AF78" si="52">M55/J55</f>
        <v>0.90101694915254193</v>
      </c>
      <c r="AG55" s="170"/>
    </row>
    <row r="56" spans="1:33" ht="15.75" customHeight="1">
      <c r="A56" s="178" t="s">
        <v>72</v>
      </c>
      <c r="B56" s="35" t="s">
        <v>78</v>
      </c>
      <c r="C56" s="39" t="s">
        <v>117</v>
      </c>
      <c r="D56" s="40"/>
      <c r="E56" s="35">
        <v>54.09</v>
      </c>
      <c r="F56" s="38">
        <v>1977</v>
      </c>
      <c r="G56" s="4">
        <f t="shared" si="42"/>
        <v>106935.93000000001</v>
      </c>
      <c r="H56" s="21" t="s">
        <v>133</v>
      </c>
      <c r="I56" s="15">
        <v>19</v>
      </c>
      <c r="J56" s="17">
        <v>2000</v>
      </c>
      <c r="K56" s="16">
        <f t="shared" si="46"/>
        <v>105.26315789473684</v>
      </c>
      <c r="L56" s="15">
        <v>19</v>
      </c>
      <c r="M56" s="17">
        <f t="shared" si="43"/>
        <v>1882.8571428571424</v>
      </c>
      <c r="N56" s="17">
        <f t="shared" si="47"/>
        <v>99.09774436090224</v>
      </c>
      <c r="O56" s="18">
        <f t="shared" si="48"/>
        <v>0</v>
      </c>
      <c r="P56" s="19">
        <f t="shared" si="49"/>
        <v>-6.1654135338345952</v>
      </c>
      <c r="Q56" s="20">
        <f t="shared" si="50"/>
        <v>0.94142857142857139</v>
      </c>
      <c r="R56" s="170"/>
      <c r="S56" s="27">
        <v>0.3569444444444444</v>
      </c>
      <c r="T56" s="27">
        <v>0.40069444444444441</v>
      </c>
      <c r="U56" s="4">
        <f t="shared" si="45"/>
        <v>4.9999999999999822</v>
      </c>
      <c r="V56" s="21">
        <f t="shared" si="44"/>
        <v>63.000000000000014</v>
      </c>
      <c r="W56" s="22"/>
      <c r="X56" s="22"/>
      <c r="Y56" s="25"/>
      <c r="Z56" s="25"/>
      <c r="AA56" s="162"/>
      <c r="AB56" s="162"/>
      <c r="AC56" s="24"/>
      <c r="AD56" s="24"/>
      <c r="AE56" s="18">
        <f t="shared" si="51"/>
        <v>-117.14285714285757</v>
      </c>
      <c r="AF56" s="20">
        <f t="shared" si="52"/>
        <v>0.94142857142857117</v>
      </c>
      <c r="AG56" s="170"/>
    </row>
    <row r="57" spans="1:33" ht="15.75" customHeight="1">
      <c r="A57" s="178" t="s">
        <v>72</v>
      </c>
      <c r="B57" s="35" t="s">
        <v>78</v>
      </c>
      <c r="C57" s="39" t="s">
        <v>118</v>
      </c>
      <c r="D57" s="40"/>
      <c r="E57" s="35">
        <v>57.73</v>
      </c>
      <c r="F57" s="38">
        <v>1420</v>
      </c>
      <c r="G57" s="4">
        <f t="shared" si="42"/>
        <v>81976.599999999991</v>
      </c>
      <c r="H57" s="21" t="s">
        <v>133</v>
      </c>
      <c r="I57" s="15">
        <v>16</v>
      </c>
      <c r="J57" s="17">
        <v>1500</v>
      </c>
      <c r="K57" s="16">
        <f t="shared" si="46"/>
        <v>93.75</v>
      </c>
      <c r="L57" s="15">
        <v>16</v>
      </c>
      <c r="M57" s="17">
        <f t="shared" si="43"/>
        <v>1444.0677966101707</v>
      </c>
      <c r="N57" s="17">
        <f t="shared" si="47"/>
        <v>90.25423728813567</v>
      </c>
      <c r="O57" s="18">
        <f t="shared" si="48"/>
        <v>0</v>
      </c>
      <c r="P57" s="19">
        <f t="shared" si="49"/>
        <v>-3.4957627118643302</v>
      </c>
      <c r="Q57" s="20">
        <f t="shared" si="50"/>
        <v>0.96271186440678047</v>
      </c>
      <c r="R57" s="170"/>
      <c r="S57" s="27">
        <v>0.70833333333333337</v>
      </c>
      <c r="T57" s="27">
        <v>0.74930555555555556</v>
      </c>
      <c r="U57" s="4" t="str">
        <f t="shared" si="45"/>
        <v/>
      </c>
      <c r="V57" s="21">
        <f t="shared" si="44"/>
        <v>58.99999999999995</v>
      </c>
      <c r="W57" s="22"/>
      <c r="X57" s="22"/>
      <c r="Y57" s="25"/>
      <c r="Z57" s="25"/>
      <c r="AA57" s="162"/>
      <c r="AB57" s="162"/>
      <c r="AC57" s="24"/>
      <c r="AD57" s="24"/>
      <c r="AE57" s="18">
        <f t="shared" si="51"/>
        <v>-55.932203389829283</v>
      </c>
      <c r="AF57" s="20">
        <f t="shared" si="52"/>
        <v>0.96271186440678047</v>
      </c>
      <c r="AG57" s="170"/>
    </row>
    <row r="58" spans="1:33" ht="15.75" customHeight="1">
      <c r="A58" s="178" t="s">
        <v>72</v>
      </c>
      <c r="B58" s="35" t="s">
        <v>78</v>
      </c>
      <c r="C58" s="174" t="s">
        <v>119</v>
      </c>
      <c r="D58" s="175"/>
      <c r="E58" s="35">
        <v>54.29</v>
      </c>
      <c r="F58" s="38">
        <v>1705</v>
      </c>
      <c r="G58" s="4">
        <f t="shared" si="42"/>
        <v>92564.45</v>
      </c>
      <c r="H58" s="21" t="s">
        <v>133</v>
      </c>
      <c r="I58" s="15">
        <v>20</v>
      </c>
      <c r="J58" s="17">
        <v>2000</v>
      </c>
      <c r="K58" s="16">
        <f t="shared" si="46"/>
        <v>100</v>
      </c>
      <c r="L58" s="15">
        <v>20</v>
      </c>
      <c r="M58" s="17">
        <f t="shared" si="43"/>
        <v>1930.188679245284</v>
      </c>
      <c r="N58" s="17">
        <f t="shared" si="47"/>
        <v>96.509433962264197</v>
      </c>
      <c r="O58" s="18">
        <f t="shared" si="48"/>
        <v>0</v>
      </c>
      <c r="P58" s="19">
        <f t="shared" si="49"/>
        <v>-3.4905660377358032</v>
      </c>
      <c r="Q58" s="20">
        <f t="shared" si="50"/>
        <v>0.96509433962264202</v>
      </c>
      <c r="R58" s="170"/>
      <c r="S58" s="27">
        <v>0.75416666666666665</v>
      </c>
      <c r="T58" s="27">
        <v>0.79097222222222219</v>
      </c>
      <c r="U58" s="4">
        <f t="shared" si="45"/>
        <v>6.9999999999999751</v>
      </c>
      <c r="V58" s="21">
        <f t="shared" si="44"/>
        <v>52.999999999999972</v>
      </c>
      <c r="W58" s="22"/>
      <c r="X58" s="22"/>
      <c r="Y58" s="25"/>
      <c r="Z58" s="25"/>
      <c r="AA58" s="176"/>
      <c r="AB58" s="177"/>
      <c r="AC58" s="24"/>
      <c r="AD58" s="24"/>
      <c r="AE58" s="18">
        <f t="shared" si="51"/>
        <v>-69.811320754716007</v>
      </c>
      <c r="AF58" s="20">
        <f t="shared" si="52"/>
        <v>0.96509433962264202</v>
      </c>
      <c r="AG58" s="170"/>
    </row>
    <row r="59" spans="1:33" ht="15.75" customHeight="1">
      <c r="A59" s="178" t="s">
        <v>72</v>
      </c>
      <c r="B59" s="35" t="s">
        <v>78</v>
      </c>
      <c r="C59" s="174" t="s">
        <v>120</v>
      </c>
      <c r="D59" s="175"/>
      <c r="E59" s="35">
        <v>55.56</v>
      </c>
      <c r="F59" s="38">
        <v>600</v>
      </c>
      <c r="G59" s="4">
        <f t="shared" si="42"/>
        <v>33336</v>
      </c>
      <c r="H59" s="21">
        <v>2</v>
      </c>
      <c r="I59" s="15">
        <v>17</v>
      </c>
      <c r="J59" s="17">
        <v>2000</v>
      </c>
      <c r="K59" s="16">
        <f t="shared" si="46"/>
        <v>117.64705882352941</v>
      </c>
      <c r="L59" s="15">
        <v>17</v>
      </c>
      <c r="M59" s="17">
        <f t="shared" si="43"/>
        <v>1894.7368421052699</v>
      </c>
      <c r="N59" s="17">
        <f t="shared" si="47"/>
        <v>111.45510835913353</v>
      </c>
      <c r="O59" s="18">
        <f t="shared" si="48"/>
        <v>0</v>
      </c>
      <c r="P59" s="19">
        <f t="shared" si="49"/>
        <v>-6.1919504643958732</v>
      </c>
      <c r="Q59" s="20">
        <f t="shared" si="50"/>
        <v>0.94736842105263508</v>
      </c>
      <c r="R59" s="170"/>
      <c r="S59" s="27">
        <v>0.79513888888888884</v>
      </c>
      <c r="T59" s="27">
        <v>0.80833333333333324</v>
      </c>
      <c r="U59" s="4">
        <f t="shared" si="45"/>
        <v>5.9999999999999787</v>
      </c>
      <c r="V59" s="21">
        <f t="shared" si="44"/>
        <v>18.999999999999932</v>
      </c>
      <c r="W59" s="22"/>
      <c r="X59" s="22"/>
      <c r="Y59" s="25"/>
      <c r="Z59" s="25"/>
      <c r="AA59" s="176"/>
      <c r="AB59" s="177"/>
      <c r="AC59" s="24"/>
      <c r="AD59" s="24"/>
      <c r="AE59" s="18">
        <f t="shared" si="51"/>
        <v>-105.26315789473006</v>
      </c>
      <c r="AF59" s="20">
        <f t="shared" si="52"/>
        <v>0.94736842105263497</v>
      </c>
      <c r="AG59" s="170"/>
    </row>
    <row r="60" spans="1:33" ht="15.75" customHeight="1">
      <c r="A60" s="178" t="s">
        <v>72</v>
      </c>
      <c r="B60" s="35" t="s">
        <v>78</v>
      </c>
      <c r="C60" s="174" t="s">
        <v>121</v>
      </c>
      <c r="D60" s="175"/>
      <c r="E60" s="35">
        <v>55.32</v>
      </c>
      <c r="F60" s="38">
        <v>1755</v>
      </c>
      <c r="G60" s="4">
        <f t="shared" si="42"/>
        <v>97086.6</v>
      </c>
      <c r="H60" s="21" t="s">
        <v>133</v>
      </c>
      <c r="I60" s="15">
        <v>15</v>
      </c>
      <c r="J60" s="17">
        <v>2000</v>
      </c>
      <c r="K60" s="16">
        <f t="shared" si="46"/>
        <v>133.33333333333334</v>
      </c>
      <c r="L60" s="15">
        <v>15</v>
      </c>
      <c r="M60" s="17">
        <f t="shared" si="43"/>
        <v>1914.5454545454559</v>
      </c>
      <c r="N60" s="17">
        <f t="shared" si="47"/>
        <v>127.63636363636373</v>
      </c>
      <c r="O60" s="18">
        <f t="shared" si="48"/>
        <v>0</v>
      </c>
      <c r="P60" s="19">
        <f t="shared" si="49"/>
        <v>-5.6969696969696173</v>
      </c>
      <c r="Q60" s="20">
        <f t="shared" si="50"/>
        <v>0.95727272727272783</v>
      </c>
      <c r="R60" s="170"/>
      <c r="S60" s="27">
        <v>0.81319444444444433</v>
      </c>
      <c r="T60" s="27">
        <v>0.85138888888888875</v>
      </c>
      <c r="U60" s="4">
        <f t="shared" si="45"/>
        <v>6.9999999999999751</v>
      </c>
      <c r="V60" s="21">
        <f t="shared" si="44"/>
        <v>54.999999999999964</v>
      </c>
      <c r="W60" s="22">
        <f>T60</f>
        <v>0.85138888888888875</v>
      </c>
      <c r="X60" s="22">
        <f>S61</f>
        <v>0.8916666666666665</v>
      </c>
      <c r="Y60" s="25"/>
      <c r="Z60" s="25"/>
      <c r="AA60" s="176"/>
      <c r="AB60" s="177"/>
      <c r="AC60" s="24"/>
      <c r="AD60" s="24"/>
      <c r="AE60" s="18">
        <f t="shared" si="51"/>
        <v>-85.454545454544132</v>
      </c>
      <c r="AF60" s="20">
        <f t="shared" si="52"/>
        <v>0.95727272727272794</v>
      </c>
      <c r="AG60" s="170"/>
    </row>
    <row r="61" spans="1:33">
      <c r="A61" s="178" t="s">
        <v>72</v>
      </c>
      <c r="B61" s="35" t="s">
        <v>78</v>
      </c>
      <c r="C61" s="174" t="s">
        <v>120</v>
      </c>
      <c r="D61" s="175"/>
      <c r="E61" s="35">
        <v>55.56</v>
      </c>
      <c r="F61" s="38">
        <v>1878</v>
      </c>
      <c r="G61" s="4">
        <f t="shared" si="42"/>
        <v>104341.68000000001</v>
      </c>
      <c r="H61" s="21" t="s">
        <v>133</v>
      </c>
      <c r="I61" s="15">
        <v>17</v>
      </c>
      <c r="J61" s="17">
        <v>2000</v>
      </c>
      <c r="K61" s="16">
        <f t="shared" si="46"/>
        <v>117.64705882352941</v>
      </c>
      <c r="L61" s="15">
        <v>17</v>
      </c>
      <c r="M61" s="17">
        <f t="shared" si="43"/>
        <v>1909.830508474578</v>
      </c>
      <c r="N61" s="17">
        <f t="shared" si="47"/>
        <v>112.34297108673988</v>
      </c>
      <c r="O61" s="18">
        <f t="shared" si="48"/>
        <v>0</v>
      </c>
      <c r="P61" s="19">
        <f t="shared" si="49"/>
        <v>-5.3040877367895263</v>
      </c>
      <c r="Q61" s="20">
        <f t="shared" si="50"/>
        <v>0.95491525423728907</v>
      </c>
      <c r="R61" s="170"/>
      <c r="S61" s="27">
        <v>0.8916666666666665</v>
      </c>
      <c r="T61" s="27">
        <v>0.93263888888888868</v>
      </c>
      <c r="U61" s="4">
        <f t="shared" si="45"/>
        <v>57.999999999999957</v>
      </c>
      <c r="V61" s="21">
        <f t="shared" si="44"/>
        <v>58.99999999999995</v>
      </c>
      <c r="W61" s="22"/>
      <c r="X61" s="22"/>
      <c r="Y61" s="25"/>
      <c r="Z61" s="25"/>
      <c r="AA61" s="176"/>
      <c r="AB61" s="177"/>
      <c r="AC61" s="24"/>
      <c r="AD61" s="24"/>
      <c r="AE61" s="18">
        <f t="shared" si="51"/>
        <v>-90.169491525422018</v>
      </c>
      <c r="AF61" s="20">
        <f t="shared" si="52"/>
        <v>0.95491525423728896</v>
      </c>
      <c r="AG61" s="170"/>
    </row>
    <row r="62" spans="1:33">
      <c r="A62" s="179" t="s">
        <v>73</v>
      </c>
      <c r="B62" s="35" t="s">
        <v>48</v>
      </c>
      <c r="C62" s="171"/>
      <c r="D62" s="171"/>
      <c r="E62" s="36"/>
      <c r="F62" s="16"/>
      <c r="G62" s="16"/>
      <c r="H62" s="4"/>
      <c r="I62" s="29">
        <v>18.666666666666668</v>
      </c>
      <c r="J62" s="17">
        <v>1944.4444444444443</v>
      </c>
      <c r="K62" s="16">
        <f t="shared" si="46"/>
        <v>104.16666666666666</v>
      </c>
      <c r="L62" s="29">
        <v>18.666666666666668</v>
      </c>
      <c r="M62" s="17">
        <f>AVERAGE(M53:M61)</f>
        <v>1835.9823259236266</v>
      </c>
      <c r="N62" s="16">
        <f t="shared" si="47"/>
        <v>98.356196031622844</v>
      </c>
      <c r="O62" s="18">
        <f t="shared" si="48"/>
        <v>0</v>
      </c>
      <c r="P62" s="19">
        <f t="shared" si="49"/>
        <v>-5.8104706350438136</v>
      </c>
      <c r="Q62" s="20">
        <f t="shared" si="50"/>
        <v>0.94421948190357941</v>
      </c>
      <c r="R62" s="170"/>
      <c r="S62" s="27"/>
      <c r="T62" s="27"/>
      <c r="U62" s="4"/>
      <c r="V62" s="21"/>
      <c r="W62" s="16"/>
      <c r="X62" s="16"/>
      <c r="Y62" s="30">
        <f>SUM(Y53:Y61)</f>
        <v>0</v>
      </c>
      <c r="Z62" s="30">
        <f>SUM(Z53:Z61)</f>
        <v>0</v>
      </c>
      <c r="AA62" s="166"/>
      <c r="AB62" s="166"/>
      <c r="AC62" s="30">
        <v>9</v>
      </c>
      <c r="AD62" s="30">
        <f>SUM(AD53:AD61)</f>
        <v>0</v>
      </c>
      <c r="AE62" s="18">
        <f>M62-J62</f>
        <v>-108.46211852081774</v>
      </c>
      <c r="AF62" s="20">
        <f t="shared" si="52"/>
        <v>0.94421948190357941</v>
      </c>
      <c r="AG62" s="170"/>
    </row>
    <row r="63" spans="1:33" ht="15.75" customHeight="1">
      <c r="A63" s="172" t="s">
        <v>74</v>
      </c>
      <c r="B63" s="4" t="s">
        <v>84</v>
      </c>
      <c r="C63" s="163" t="s">
        <v>122</v>
      </c>
      <c r="D63" s="163"/>
      <c r="E63" s="35">
        <v>26.97</v>
      </c>
      <c r="F63" s="38">
        <v>2979</v>
      </c>
      <c r="G63" s="4">
        <f t="shared" ref="G63:G69" si="53">E63*F63</f>
        <v>80343.62999999999</v>
      </c>
      <c r="H63" s="21" t="s">
        <v>133</v>
      </c>
      <c r="I63" s="15">
        <v>8</v>
      </c>
      <c r="J63" s="17">
        <v>1500</v>
      </c>
      <c r="K63" s="16">
        <f t="shared" si="46"/>
        <v>187.5</v>
      </c>
      <c r="L63" s="15">
        <v>8</v>
      </c>
      <c r="M63" s="17">
        <f t="shared" ref="M63:M69" si="54">F63/V63*60</f>
        <v>1429.9200000000003</v>
      </c>
      <c r="N63" s="16">
        <f t="shared" si="47"/>
        <v>178.74000000000004</v>
      </c>
      <c r="O63" s="18">
        <f t="shared" si="48"/>
        <v>0</v>
      </c>
      <c r="P63" s="19">
        <f t="shared" si="49"/>
        <v>-8.7599999999999625</v>
      </c>
      <c r="Q63" s="20">
        <f t="shared" si="50"/>
        <v>0.95328000000000024</v>
      </c>
      <c r="R63" s="170">
        <f>Q70</f>
        <v>0.95868340568855859</v>
      </c>
      <c r="S63" s="27">
        <v>0.20833333333333334</v>
      </c>
      <c r="T63" s="27">
        <v>0.2951388888888889</v>
      </c>
      <c r="U63" s="4"/>
      <c r="V63" s="21">
        <f t="shared" ref="V63:V69" si="55">(T63-S63)*24*60</f>
        <v>124.99999999999999</v>
      </c>
      <c r="W63" s="27"/>
      <c r="X63" s="27"/>
      <c r="Y63" s="27"/>
      <c r="Z63" s="27"/>
      <c r="AA63" s="162"/>
      <c r="AB63" s="162"/>
      <c r="AC63" s="24">
        <v>7</v>
      </c>
      <c r="AD63" s="24"/>
      <c r="AE63" s="18">
        <f t="shared" ref="AE63:AE78" si="56">M63-J63</f>
        <v>-70.0799999999997</v>
      </c>
      <c r="AF63" s="20">
        <f t="shared" si="52"/>
        <v>0.95328000000000024</v>
      </c>
      <c r="AG63" s="170">
        <f>AF70</f>
        <v>0.95868340568855859</v>
      </c>
    </row>
    <row r="64" spans="1:33" ht="15.75" customHeight="1">
      <c r="A64" s="172" t="s">
        <v>74</v>
      </c>
      <c r="B64" s="4" t="s">
        <v>84</v>
      </c>
      <c r="C64" s="163" t="s">
        <v>123</v>
      </c>
      <c r="D64" s="163"/>
      <c r="E64" s="35">
        <v>27.4</v>
      </c>
      <c r="F64" s="38">
        <v>925</v>
      </c>
      <c r="G64" s="4">
        <f t="shared" si="53"/>
        <v>25345</v>
      </c>
      <c r="H64" s="21" t="s">
        <v>133</v>
      </c>
      <c r="I64" s="15">
        <v>10</v>
      </c>
      <c r="J64" s="17">
        <v>1500</v>
      </c>
      <c r="K64" s="16">
        <f t="shared" si="46"/>
        <v>150</v>
      </c>
      <c r="L64" s="15">
        <v>10</v>
      </c>
      <c r="M64" s="17">
        <f t="shared" si="54"/>
        <v>1460.5263157894726</v>
      </c>
      <c r="N64" s="16">
        <f t="shared" si="47"/>
        <v>146.05263157894726</v>
      </c>
      <c r="O64" s="18">
        <f t="shared" si="48"/>
        <v>0</v>
      </c>
      <c r="P64" s="19">
        <f t="shared" si="49"/>
        <v>-3.9473684210527438</v>
      </c>
      <c r="Q64" s="20">
        <f t="shared" si="50"/>
        <v>0.97368421052631504</v>
      </c>
      <c r="R64" s="170"/>
      <c r="S64" s="27">
        <v>0.2986111111111111</v>
      </c>
      <c r="T64" s="27">
        <v>0.32500000000000001</v>
      </c>
      <c r="U64" s="4">
        <f t="shared" ref="U64:U69" si="57">(S64-T63)*24*60</f>
        <v>4.9999999999999822</v>
      </c>
      <c r="V64" s="21">
        <f t="shared" si="55"/>
        <v>38.000000000000028</v>
      </c>
      <c r="W64" s="4"/>
      <c r="X64" s="4"/>
      <c r="Y64" s="4"/>
      <c r="Z64" s="4"/>
      <c r="AA64" s="162"/>
      <c r="AB64" s="162"/>
      <c r="AC64" s="24"/>
      <c r="AD64" s="24"/>
      <c r="AE64" s="18">
        <f t="shared" si="56"/>
        <v>-39.473684210527381</v>
      </c>
      <c r="AF64" s="20">
        <f t="shared" si="52"/>
        <v>0.97368421052631504</v>
      </c>
      <c r="AG64" s="170"/>
    </row>
    <row r="65" spans="1:33" ht="15.75" customHeight="1">
      <c r="A65" s="172" t="s">
        <v>74</v>
      </c>
      <c r="B65" s="4" t="s">
        <v>108</v>
      </c>
      <c r="C65" s="163" t="s">
        <v>124</v>
      </c>
      <c r="D65" s="163"/>
      <c r="E65" s="35">
        <v>31</v>
      </c>
      <c r="F65" s="38">
        <v>610</v>
      </c>
      <c r="G65" s="4">
        <f t="shared" si="53"/>
        <v>18910</v>
      </c>
      <c r="H65" s="21" t="s">
        <v>133</v>
      </c>
      <c r="I65" s="15">
        <v>13</v>
      </c>
      <c r="J65" s="17">
        <v>2000</v>
      </c>
      <c r="K65" s="16">
        <f t="shared" si="46"/>
        <v>153.84615384615384</v>
      </c>
      <c r="L65" s="15">
        <v>13</v>
      </c>
      <c r="M65" s="17">
        <f t="shared" si="54"/>
        <v>1926.3157894736828</v>
      </c>
      <c r="N65" s="16">
        <f t="shared" si="47"/>
        <v>148.17813765182174</v>
      </c>
      <c r="O65" s="18">
        <f t="shared" si="48"/>
        <v>0</v>
      </c>
      <c r="P65" s="19">
        <f t="shared" si="49"/>
        <v>-5.6680161943320968</v>
      </c>
      <c r="Q65" s="20">
        <f t="shared" si="50"/>
        <v>0.96315789473684132</v>
      </c>
      <c r="R65" s="170"/>
      <c r="S65" s="27">
        <v>0.32847222222222222</v>
      </c>
      <c r="T65" s="27">
        <v>0.34166666666666667</v>
      </c>
      <c r="U65" s="4">
        <f t="shared" si="57"/>
        <v>4.9999999999999822</v>
      </c>
      <c r="V65" s="21">
        <f t="shared" si="55"/>
        <v>19.000000000000014</v>
      </c>
      <c r="W65" s="4"/>
      <c r="X65" s="4"/>
      <c r="Y65" s="4"/>
      <c r="Z65" s="4"/>
      <c r="AA65" s="162"/>
      <c r="AB65" s="162"/>
      <c r="AC65" s="24"/>
      <c r="AD65" s="24"/>
      <c r="AE65" s="18">
        <f t="shared" si="56"/>
        <v>-73.684210526317202</v>
      </c>
      <c r="AF65" s="20">
        <f t="shared" si="52"/>
        <v>0.96315789473684144</v>
      </c>
      <c r="AG65" s="170"/>
    </row>
    <row r="66" spans="1:33" ht="15.75" customHeight="1">
      <c r="A66" s="172" t="s">
        <v>74</v>
      </c>
      <c r="B66" s="4" t="s">
        <v>108</v>
      </c>
      <c r="C66" s="163" t="s">
        <v>125</v>
      </c>
      <c r="D66" s="163"/>
      <c r="E66" s="35">
        <v>37.85</v>
      </c>
      <c r="F66" s="38">
        <v>2103</v>
      </c>
      <c r="G66" s="4">
        <f t="shared" si="53"/>
        <v>79598.55</v>
      </c>
      <c r="H66" s="21" t="s">
        <v>133</v>
      </c>
      <c r="I66" s="15">
        <v>12</v>
      </c>
      <c r="J66" s="17">
        <v>2000</v>
      </c>
      <c r="K66" s="16">
        <f t="shared" si="46"/>
        <v>166.66666666666666</v>
      </c>
      <c r="L66" s="15">
        <v>12</v>
      </c>
      <c r="M66" s="17">
        <f t="shared" si="54"/>
        <v>1911.8181818181818</v>
      </c>
      <c r="N66" s="16">
        <f t="shared" si="47"/>
        <v>159.31818181818181</v>
      </c>
      <c r="O66" s="18">
        <f t="shared" si="48"/>
        <v>0</v>
      </c>
      <c r="P66" s="19">
        <f t="shared" si="49"/>
        <v>-7.3484848484848442</v>
      </c>
      <c r="Q66" s="20">
        <f t="shared" si="50"/>
        <v>0.95590909090909093</v>
      </c>
      <c r="R66" s="170"/>
      <c r="S66" s="27">
        <v>0.34513888888888888</v>
      </c>
      <c r="T66" s="27">
        <v>0.39097222222222222</v>
      </c>
      <c r="U66" s="4">
        <f t="shared" si="57"/>
        <v>4.9999999999999822</v>
      </c>
      <c r="V66" s="21">
        <f t="shared" si="55"/>
        <v>66</v>
      </c>
      <c r="W66" s="4"/>
      <c r="X66" s="4"/>
      <c r="Y66" s="4"/>
      <c r="Z66" s="4"/>
      <c r="AA66" s="162"/>
      <c r="AB66" s="162"/>
      <c r="AC66" s="24"/>
      <c r="AD66" s="24"/>
      <c r="AE66" s="18">
        <f t="shared" si="56"/>
        <v>-88.181818181818244</v>
      </c>
      <c r="AF66" s="20">
        <f t="shared" si="52"/>
        <v>0.95590909090909093</v>
      </c>
      <c r="AG66" s="170"/>
    </row>
    <row r="67" spans="1:33">
      <c r="A67" s="173" t="s">
        <v>74</v>
      </c>
      <c r="B67" s="4" t="s">
        <v>108</v>
      </c>
      <c r="C67" s="163" t="s">
        <v>126</v>
      </c>
      <c r="D67" s="163"/>
      <c r="E67" s="35">
        <v>34.36</v>
      </c>
      <c r="F67" s="38">
        <v>2068</v>
      </c>
      <c r="G67" s="4">
        <f t="shared" si="53"/>
        <v>71056.479999999996</v>
      </c>
      <c r="H67" s="21" t="s">
        <v>133</v>
      </c>
      <c r="I67" s="15">
        <v>10</v>
      </c>
      <c r="J67" s="17">
        <v>3000</v>
      </c>
      <c r="K67" s="16">
        <f t="shared" si="46"/>
        <v>300</v>
      </c>
      <c r="L67" s="15">
        <v>10</v>
      </c>
      <c r="M67" s="17">
        <f t="shared" si="54"/>
        <v>2885.5813953488368</v>
      </c>
      <c r="N67" s="16">
        <f t="shared" si="47"/>
        <v>288.55813953488371</v>
      </c>
      <c r="O67" s="18">
        <f t="shared" si="48"/>
        <v>0</v>
      </c>
      <c r="P67" s="19">
        <f t="shared" si="49"/>
        <v>-11.441860465116292</v>
      </c>
      <c r="Q67" s="20">
        <f t="shared" si="50"/>
        <v>0.96186046511627898</v>
      </c>
      <c r="R67" s="170"/>
      <c r="S67" s="27">
        <v>0.39652777777777776</v>
      </c>
      <c r="T67" s="27">
        <v>0.42638888888888887</v>
      </c>
      <c r="U67" s="4">
        <f t="shared" si="57"/>
        <v>7.9999999999999716</v>
      </c>
      <c r="V67" s="21">
        <f t="shared" si="55"/>
        <v>43.000000000000007</v>
      </c>
      <c r="W67" s="22"/>
      <c r="X67" s="22"/>
      <c r="Y67" s="22"/>
      <c r="Z67" s="22"/>
      <c r="AA67" s="162"/>
      <c r="AB67" s="162"/>
      <c r="AC67" s="24"/>
      <c r="AD67" s="24"/>
      <c r="AE67" s="18">
        <f t="shared" si="56"/>
        <v>-114.41860465116315</v>
      </c>
      <c r="AF67" s="20">
        <f t="shared" si="52"/>
        <v>0.96186046511627898</v>
      </c>
      <c r="AG67" s="170"/>
    </row>
    <row r="68" spans="1:33" ht="15" customHeight="1">
      <c r="A68" s="173" t="s">
        <v>74</v>
      </c>
      <c r="B68" s="4" t="s">
        <v>108</v>
      </c>
      <c r="C68" s="174" t="s">
        <v>127</v>
      </c>
      <c r="D68" s="175"/>
      <c r="E68" s="35">
        <v>35.119999999999997</v>
      </c>
      <c r="F68" s="38">
        <v>4100</v>
      </c>
      <c r="G68" s="4">
        <f t="shared" si="53"/>
        <v>143992</v>
      </c>
      <c r="H68" s="21">
        <v>2</v>
      </c>
      <c r="I68" s="15">
        <v>10</v>
      </c>
      <c r="J68" s="17">
        <v>3000</v>
      </c>
      <c r="K68" s="16">
        <f t="shared" si="46"/>
        <v>300</v>
      </c>
      <c r="L68" s="15">
        <v>10</v>
      </c>
      <c r="M68" s="17">
        <f t="shared" si="54"/>
        <v>2860.4651162790692</v>
      </c>
      <c r="N68" s="16">
        <f t="shared" si="47"/>
        <v>286.04651162790691</v>
      </c>
      <c r="O68" s="18">
        <f t="shared" si="48"/>
        <v>0</v>
      </c>
      <c r="P68" s="19">
        <f t="shared" si="49"/>
        <v>-13.953488372093091</v>
      </c>
      <c r="Q68" s="20">
        <f t="shared" si="50"/>
        <v>0.95348837209302306</v>
      </c>
      <c r="R68" s="170"/>
      <c r="S68" s="27">
        <v>0.42986111111111108</v>
      </c>
      <c r="T68" s="27">
        <v>0.48958333333333331</v>
      </c>
      <c r="U68" s="4">
        <f t="shared" si="57"/>
        <v>4.9999999999999822</v>
      </c>
      <c r="V68" s="21">
        <f t="shared" si="55"/>
        <v>86.000000000000014</v>
      </c>
      <c r="W68" s="22">
        <f>T68</f>
        <v>0.48958333333333331</v>
      </c>
      <c r="X68" s="22">
        <f>S69</f>
        <v>0.53055555555555545</v>
      </c>
      <c r="Y68" s="31"/>
      <c r="Z68" s="31"/>
      <c r="AA68" s="176"/>
      <c r="AB68" s="177"/>
      <c r="AC68" s="24"/>
      <c r="AD68" s="24"/>
      <c r="AE68" s="18">
        <f t="shared" si="56"/>
        <v>-139.53488372093079</v>
      </c>
      <c r="AF68" s="20">
        <f t="shared" si="52"/>
        <v>0.95348837209302306</v>
      </c>
      <c r="AG68" s="170"/>
    </row>
    <row r="69" spans="1:33">
      <c r="A69" s="173" t="s">
        <v>74</v>
      </c>
      <c r="B69" s="4" t="s">
        <v>108</v>
      </c>
      <c r="C69" s="39" t="s">
        <v>127</v>
      </c>
      <c r="D69" s="40"/>
      <c r="E69" s="35">
        <v>35.119999999999997</v>
      </c>
      <c r="F69" s="38">
        <v>3103</v>
      </c>
      <c r="G69" s="4">
        <f t="shared" si="53"/>
        <v>108977.35999999999</v>
      </c>
      <c r="H69" s="21" t="s">
        <v>133</v>
      </c>
      <c r="I69" s="15">
        <v>10</v>
      </c>
      <c r="J69" s="17">
        <v>3000</v>
      </c>
      <c r="K69" s="16">
        <f t="shared" si="46"/>
        <v>300</v>
      </c>
      <c r="L69" s="15">
        <v>10</v>
      </c>
      <c r="M69" s="17">
        <f t="shared" si="54"/>
        <v>2864.3076923076956</v>
      </c>
      <c r="N69" s="16">
        <f t="shared" si="47"/>
        <v>286.43076923076956</v>
      </c>
      <c r="O69" s="18">
        <f t="shared" si="48"/>
        <v>0</v>
      </c>
      <c r="P69" s="19">
        <f t="shared" si="49"/>
        <v>-13.569230769230444</v>
      </c>
      <c r="Q69" s="20">
        <f t="shared" si="50"/>
        <v>0.95476923076923181</v>
      </c>
      <c r="R69" s="170"/>
      <c r="S69" s="27">
        <v>0.53055555555555545</v>
      </c>
      <c r="T69" s="27">
        <v>0.57569444444444429</v>
      </c>
      <c r="U69" s="4">
        <f t="shared" si="57"/>
        <v>58.999999999999872</v>
      </c>
      <c r="V69" s="21">
        <f t="shared" si="55"/>
        <v>64.999999999999929</v>
      </c>
      <c r="W69" s="22"/>
      <c r="X69" s="22"/>
      <c r="Y69" s="25"/>
      <c r="Z69" s="25"/>
      <c r="AA69" s="176"/>
      <c r="AB69" s="177"/>
      <c r="AC69" s="24"/>
      <c r="AD69" s="24"/>
      <c r="AE69" s="18">
        <f t="shared" si="56"/>
        <v>-135.69230769230444</v>
      </c>
      <c r="AF69" s="20">
        <f t="shared" si="52"/>
        <v>0.95476923076923181</v>
      </c>
      <c r="AG69" s="170"/>
    </row>
    <row r="70" spans="1:33">
      <c r="A70" s="173" t="s">
        <v>74</v>
      </c>
      <c r="B70" s="35" t="s">
        <v>53</v>
      </c>
      <c r="C70" s="171"/>
      <c r="D70" s="171"/>
      <c r="E70" s="36"/>
      <c r="F70" s="16"/>
      <c r="G70" s="16"/>
      <c r="H70" s="4"/>
      <c r="I70" s="29">
        <v>10.428571428571429</v>
      </c>
      <c r="J70" s="17">
        <v>2285.7142857142858</v>
      </c>
      <c r="K70" s="16">
        <f t="shared" si="46"/>
        <v>219.17808219178082</v>
      </c>
      <c r="L70" s="29">
        <v>10.428571428571429</v>
      </c>
      <c r="M70" s="17">
        <f>AVERAGE(M63:M69)</f>
        <v>2191.2763558595625</v>
      </c>
      <c r="N70" s="16">
        <f t="shared" si="47"/>
        <v>210.12239028790324</v>
      </c>
      <c r="O70" s="18">
        <f t="shared" si="48"/>
        <v>0</v>
      </c>
      <c r="P70" s="19">
        <f t="shared" si="49"/>
        <v>-9.0556919038775732</v>
      </c>
      <c r="Q70" s="20">
        <f t="shared" si="50"/>
        <v>0.95868340568855859</v>
      </c>
      <c r="R70" s="170"/>
      <c r="S70" s="27"/>
      <c r="T70" s="27"/>
      <c r="U70" s="16"/>
      <c r="V70" s="21"/>
      <c r="W70" s="16"/>
      <c r="X70" s="16"/>
      <c r="Y70" s="30">
        <f>SUM(Y63:Y69)</f>
        <v>0</v>
      </c>
      <c r="Z70" s="30">
        <f>SUM(Z63:Z69)</f>
        <v>0</v>
      </c>
      <c r="AA70" s="166"/>
      <c r="AB70" s="166"/>
      <c r="AC70" s="30">
        <v>7</v>
      </c>
      <c r="AD70" s="30">
        <f>SUM(AD63:AD69)</f>
        <v>0</v>
      </c>
      <c r="AE70" s="18">
        <f t="shared" si="56"/>
        <v>-94.437929854723279</v>
      </c>
      <c r="AF70" s="20">
        <f t="shared" si="52"/>
        <v>0.95868340568855859</v>
      </c>
      <c r="AG70" s="170"/>
    </row>
    <row r="71" spans="1:33" ht="15.75" customHeight="1">
      <c r="A71" s="167" t="s">
        <v>75</v>
      </c>
      <c r="B71" s="4" t="s">
        <v>97</v>
      </c>
      <c r="C71" s="163" t="s">
        <v>128</v>
      </c>
      <c r="D71" s="163"/>
      <c r="E71" s="35">
        <v>20.2</v>
      </c>
      <c r="F71" s="4">
        <v>2672</v>
      </c>
      <c r="G71" s="4">
        <f t="shared" ref="G71:G77" si="58">E71*F71</f>
        <v>53974.400000000001</v>
      </c>
      <c r="H71" s="21" t="s">
        <v>133</v>
      </c>
      <c r="I71" s="15">
        <v>19</v>
      </c>
      <c r="J71" s="17">
        <v>2400</v>
      </c>
      <c r="K71" s="16">
        <f t="shared" si="46"/>
        <v>126.31578947368421</v>
      </c>
      <c r="L71" s="15">
        <v>19</v>
      </c>
      <c r="M71" s="17">
        <f t="shared" ref="M71:M77" si="59">F71/V71*60</f>
        <v>2290.2857142857147</v>
      </c>
      <c r="N71" s="16">
        <f t="shared" si="47"/>
        <v>120.54135338345867</v>
      </c>
      <c r="O71" s="18">
        <f t="shared" si="48"/>
        <v>0</v>
      </c>
      <c r="P71" s="19">
        <f t="shared" si="49"/>
        <v>-5.7744360902255352</v>
      </c>
      <c r="Q71" s="20">
        <f t="shared" si="50"/>
        <v>0.95428571428571451</v>
      </c>
      <c r="R71" s="170">
        <f>Q78</f>
        <v>0.95767283403398173</v>
      </c>
      <c r="S71" s="27">
        <v>0.125</v>
      </c>
      <c r="T71" s="27">
        <v>0.1736111111111111</v>
      </c>
      <c r="U71" s="27"/>
      <c r="V71" s="21">
        <f t="shared" ref="V71:V77" si="60">(T71-S71)*24*60</f>
        <v>69.999999999999986</v>
      </c>
      <c r="W71" s="22">
        <f>T71</f>
        <v>0.1736111111111111</v>
      </c>
      <c r="X71" s="22">
        <f>S72</f>
        <v>0.19236111111111109</v>
      </c>
      <c r="Y71" s="22"/>
      <c r="Z71" s="22"/>
      <c r="AA71" s="162"/>
      <c r="AB71" s="162"/>
      <c r="AC71" s="24">
        <v>7</v>
      </c>
      <c r="AD71" s="24"/>
      <c r="AE71" s="18">
        <f t="shared" si="56"/>
        <v>-109.71428571428532</v>
      </c>
      <c r="AF71" s="20">
        <f t="shared" si="52"/>
        <v>0.9542857142857144</v>
      </c>
      <c r="AG71" s="170">
        <f>AF78</f>
        <v>0.95767283403398173</v>
      </c>
    </row>
    <row r="72" spans="1:33" ht="15.75" customHeight="1">
      <c r="A72" s="168" t="s">
        <v>75</v>
      </c>
      <c r="B72" s="4" t="s">
        <v>97</v>
      </c>
      <c r="C72" s="163" t="s">
        <v>129</v>
      </c>
      <c r="D72" s="163"/>
      <c r="E72" s="35">
        <v>24.45</v>
      </c>
      <c r="F72" s="4">
        <v>3531</v>
      </c>
      <c r="G72" s="4">
        <f t="shared" si="58"/>
        <v>86332.95</v>
      </c>
      <c r="H72" s="21" t="s">
        <v>133</v>
      </c>
      <c r="I72" s="15">
        <v>20</v>
      </c>
      <c r="J72" s="17">
        <v>2400</v>
      </c>
      <c r="K72" s="16">
        <f t="shared" si="46"/>
        <v>120</v>
      </c>
      <c r="L72" s="15">
        <v>20</v>
      </c>
      <c r="M72" s="17">
        <f t="shared" si="59"/>
        <v>2302.8260869565215</v>
      </c>
      <c r="N72" s="16">
        <f t="shared" si="47"/>
        <v>115.14130434782608</v>
      </c>
      <c r="O72" s="18">
        <f t="shared" si="48"/>
        <v>0</v>
      </c>
      <c r="P72" s="19">
        <f t="shared" si="49"/>
        <v>-4.8586956521739211</v>
      </c>
      <c r="Q72" s="20">
        <f t="shared" si="50"/>
        <v>0.95951086956521736</v>
      </c>
      <c r="R72" s="170"/>
      <c r="S72" s="27">
        <v>0.19236111111111109</v>
      </c>
      <c r="T72" s="27">
        <v>0.25624999999999998</v>
      </c>
      <c r="U72" s="4">
        <f t="shared" ref="U72:U77" si="61">(S72-T71)*24*60</f>
        <v>26.999999999999986</v>
      </c>
      <c r="V72" s="21">
        <f t="shared" si="60"/>
        <v>92</v>
      </c>
      <c r="W72" s="22"/>
      <c r="X72" s="22"/>
      <c r="Y72" s="22"/>
      <c r="Z72" s="22"/>
      <c r="AA72" s="162"/>
      <c r="AB72" s="162"/>
      <c r="AC72" s="24"/>
      <c r="AD72" s="24"/>
      <c r="AE72" s="18">
        <f t="shared" si="56"/>
        <v>-97.173913043478478</v>
      </c>
      <c r="AF72" s="20">
        <f t="shared" si="52"/>
        <v>0.95951086956521725</v>
      </c>
      <c r="AG72" s="170"/>
    </row>
    <row r="73" spans="1:33" ht="15.75" customHeight="1">
      <c r="A73" s="168" t="s">
        <v>75</v>
      </c>
      <c r="B73" s="4" t="s">
        <v>97</v>
      </c>
      <c r="C73" s="163" t="s">
        <v>130</v>
      </c>
      <c r="D73" s="163"/>
      <c r="E73" s="35">
        <v>24.43</v>
      </c>
      <c r="F73" s="4">
        <v>4600</v>
      </c>
      <c r="G73" s="4">
        <f t="shared" si="58"/>
        <v>112378</v>
      </c>
      <c r="H73" s="21">
        <v>2</v>
      </c>
      <c r="I73" s="15">
        <v>14</v>
      </c>
      <c r="J73" s="17">
        <v>2400</v>
      </c>
      <c r="K73" s="16">
        <f t="shared" si="46"/>
        <v>171.42857142857142</v>
      </c>
      <c r="L73" s="15">
        <v>14</v>
      </c>
      <c r="M73" s="17">
        <f t="shared" si="59"/>
        <v>2300.0000000000005</v>
      </c>
      <c r="N73" s="16">
        <f t="shared" si="47"/>
        <v>164.28571428571431</v>
      </c>
      <c r="O73" s="18">
        <f t="shared" si="48"/>
        <v>0</v>
      </c>
      <c r="P73" s="19">
        <f t="shared" si="49"/>
        <v>-7.1428571428571104</v>
      </c>
      <c r="Q73" s="20">
        <f t="shared" si="50"/>
        <v>0.95833333333333348</v>
      </c>
      <c r="R73" s="170"/>
      <c r="S73" s="27">
        <v>0.26111111111111107</v>
      </c>
      <c r="T73" s="27">
        <v>0.34444444444444439</v>
      </c>
      <c r="U73" s="4">
        <f t="shared" si="61"/>
        <v>6.9999999999999751</v>
      </c>
      <c r="V73" s="21">
        <f t="shared" si="60"/>
        <v>119.99999999999997</v>
      </c>
      <c r="W73" s="22"/>
      <c r="X73" s="22"/>
      <c r="Y73" s="22"/>
      <c r="Z73" s="22"/>
      <c r="AA73" s="162"/>
      <c r="AB73" s="162"/>
      <c r="AC73" s="24"/>
      <c r="AD73" s="24"/>
      <c r="AE73" s="18">
        <f t="shared" si="56"/>
        <v>-99.999999999999545</v>
      </c>
      <c r="AF73" s="20">
        <f t="shared" si="52"/>
        <v>0.95833333333333348</v>
      </c>
      <c r="AG73" s="170"/>
    </row>
    <row r="74" spans="1:33" ht="15.75" customHeight="1">
      <c r="A74" s="168" t="s">
        <v>75</v>
      </c>
      <c r="B74" s="4" t="s">
        <v>97</v>
      </c>
      <c r="C74" s="163" t="s">
        <v>131</v>
      </c>
      <c r="D74" s="163"/>
      <c r="E74" s="35">
        <v>22.69</v>
      </c>
      <c r="F74" s="4">
        <v>1045</v>
      </c>
      <c r="G74" s="4">
        <f t="shared" si="58"/>
        <v>23711.050000000003</v>
      </c>
      <c r="H74" s="21" t="s">
        <v>133</v>
      </c>
      <c r="I74" s="15">
        <v>15</v>
      </c>
      <c r="J74" s="17">
        <v>2400</v>
      </c>
      <c r="K74" s="16">
        <f t="shared" si="46"/>
        <v>160</v>
      </c>
      <c r="L74" s="15">
        <v>15</v>
      </c>
      <c r="M74" s="17">
        <f t="shared" si="59"/>
        <v>2322.2222222222235</v>
      </c>
      <c r="N74" s="16">
        <f t="shared" si="47"/>
        <v>154.81481481481489</v>
      </c>
      <c r="O74" s="18">
        <f t="shared" si="48"/>
        <v>0</v>
      </c>
      <c r="P74" s="19">
        <f t="shared" si="49"/>
        <v>-5.1851851851851052</v>
      </c>
      <c r="Q74" s="20">
        <f t="shared" si="50"/>
        <v>0.96759259259259311</v>
      </c>
      <c r="R74" s="170"/>
      <c r="S74" s="27">
        <v>0.34861111111111104</v>
      </c>
      <c r="T74" s="27">
        <v>0.36736111111111103</v>
      </c>
      <c r="U74" s="4">
        <f t="shared" si="61"/>
        <v>5.9999999999999787</v>
      </c>
      <c r="V74" s="21">
        <f t="shared" si="60"/>
        <v>26.999999999999986</v>
      </c>
      <c r="W74" s="22"/>
      <c r="X74" s="22"/>
      <c r="Y74" s="22"/>
      <c r="Z74" s="22"/>
      <c r="AA74" s="162"/>
      <c r="AB74" s="162"/>
      <c r="AC74" s="24"/>
      <c r="AD74" s="24"/>
      <c r="AE74" s="18">
        <f t="shared" si="56"/>
        <v>-77.777777777776464</v>
      </c>
      <c r="AF74" s="20">
        <f t="shared" si="52"/>
        <v>0.96759259259259311</v>
      </c>
      <c r="AG74" s="170"/>
    </row>
    <row r="75" spans="1:33" ht="15.75" customHeight="1">
      <c r="A75" s="168" t="s">
        <v>75</v>
      </c>
      <c r="B75" s="4" t="s">
        <v>97</v>
      </c>
      <c r="C75" s="163" t="s">
        <v>132</v>
      </c>
      <c r="D75" s="163"/>
      <c r="E75" s="35">
        <v>19.02</v>
      </c>
      <c r="F75" s="4">
        <v>6300</v>
      </c>
      <c r="G75" s="4">
        <f t="shared" si="58"/>
        <v>119826</v>
      </c>
      <c r="H75" s="21">
        <v>2</v>
      </c>
      <c r="I75" s="15">
        <v>15</v>
      </c>
      <c r="J75" s="17">
        <v>2400</v>
      </c>
      <c r="K75" s="16">
        <f t="shared" si="46"/>
        <v>160</v>
      </c>
      <c r="L75" s="15">
        <v>15</v>
      </c>
      <c r="M75" s="17">
        <f t="shared" si="59"/>
        <v>2290.909090909091</v>
      </c>
      <c r="N75" s="16">
        <f t="shared" si="47"/>
        <v>152.72727272727272</v>
      </c>
      <c r="O75" s="18">
        <f t="shared" si="48"/>
        <v>0</v>
      </c>
      <c r="P75" s="19">
        <f t="shared" si="49"/>
        <v>-7.2727272727272805</v>
      </c>
      <c r="Q75" s="20">
        <f t="shared" si="50"/>
        <v>0.95454545454545447</v>
      </c>
      <c r="R75" s="170"/>
      <c r="S75" s="27">
        <v>0.37152777777777768</v>
      </c>
      <c r="T75" s="27">
        <v>0.48611111111111099</v>
      </c>
      <c r="U75" s="4">
        <f t="shared" si="61"/>
        <v>5.9999999999999787</v>
      </c>
      <c r="V75" s="21">
        <f t="shared" si="60"/>
        <v>164.99999999999997</v>
      </c>
      <c r="W75" s="22">
        <f>T75</f>
        <v>0.48611111111111099</v>
      </c>
      <c r="X75" s="22">
        <f>S76</f>
        <v>0.52638888888888868</v>
      </c>
      <c r="Y75" s="22"/>
      <c r="Z75" s="22"/>
      <c r="AA75" s="162"/>
      <c r="AB75" s="162"/>
      <c r="AC75" s="24"/>
      <c r="AD75" s="24"/>
      <c r="AE75" s="18">
        <f t="shared" si="56"/>
        <v>-109.09090909090901</v>
      </c>
      <c r="AF75" s="20">
        <f t="shared" si="52"/>
        <v>0.95454545454545459</v>
      </c>
      <c r="AG75" s="170"/>
    </row>
    <row r="76" spans="1:33" ht="15.75" customHeight="1">
      <c r="A76" s="168" t="s">
        <v>76</v>
      </c>
      <c r="B76" s="4" t="s">
        <v>97</v>
      </c>
      <c r="C76" s="163" t="s">
        <v>132</v>
      </c>
      <c r="D76" s="163"/>
      <c r="E76" s="35">
        <v>19.02</v>
      </c>
      <c r="F76" s="4">
        <v>5075</v>
      </c>
      <c r="G76" s="4">
        <f t="shared" si="58"/>
        <v>96526.5</v>
      </c>
      <c r="H76" s="21" t="s">
        <v>133</v>
      </c>
      <c r="I76" s="15">
        <v>15</v>
      </c>
      <c r="J76" s="17">
        <v>2400</v>
      </c>
      <c r="K76" s="16">
        <f t="shared" si="46"/>
        <v>160</v>
      </c>
      <c r="L76" s="15">
        <v>15</v>
      </c>
      <c r="M76" s="17">
        <f t="shared" si="59"/>
        <v>2289.4736842105262</v>
      </c>
      <c r="N76" s="16">
        <f t="shared" si="47"/>
        <v>152.63157894736841</v>
      </c>
      <c r="O76" s="18">
        <f t="shared" si="48"/>
        <v>0</v>
      </c>
      <c r="P76" s="19">
        <f t="shared" si="49"/>
        <v>-7.3684210526315894</v>
      </c>
      <c r="Q76" s="20">
        <f t="shared" si="50"/>
        <v>0.95394736842105254</v>
      </c>
      <c r="R76" s="170"/>
      <c r="S76" s="27">
        <v>0.52638888888888868</v>
      </c>
      <c r="T76" s="27">
        <v>0.6187499999999998</v>
      </c>
      <c r="U76" s="4">
        <f t="shared" si="61"/>
        <v>57.999999999999872</v>
      </c>
      <c r="V76" s="21">
        <f t="shared" si="60"/>
        <v>133</v>
      </c>
      <c r="W76" s="22"/>
      <c r="X76" s="22"/>
      <c r="Y76" s="22"/>
      <c r="Z76" s="22"/>
      <c r="AA76" s="162"/>
      <c r="AB76" s="162"/>
      <c r="AC76" s="24"/>
      <c r="AD76" s="24"/>
      <c r="AE76" s="18">
        <f t="shared" si="56"/>
        <v>-110.52631578947376</v>
      </c>
      <c r="AF76" s="20">
        <f t="shared" si="52"/>
        <v>0.95394736842105265</v>
      </c>
      <c r="AG76" s="170"/>
    </row>
    <row r="77" spans="1:33" ht="15.75" customHeight="1">
      <c r="A77" s="168" t="s">
        <v>75</v>
      </c>
      <c r="B77" s="4" t="s">
        <v>97</v>
      </c>
      <c r="C77" s="163" t="s">
        <v>130</v>
      </c>
      <c r="D77" s="163"/>
      <c r="E77" s="35">
        <v>24.43</v>
      </c>
      <c r="F77" s="4">
        <v>3478</v>
      </c>
      <c r="G77" s="4">
        <f t="shared" si="58"/>
        <v>84967.54</v>
      </c>
      <c r="H77" s="21" t="s">
        <v>133</v>
      </c>
      <c r="I77" s="15">
        <v>14</v>
      </c>
      <c r="J77" s="17">
        <v>2400</v>
      </c>
      <c r="K77" s="16">
        <f t="shared" si="46"/>
        <v>171.42857142857142</v>
      </c>
      <c r="L77" s="15">
        <v>14</v>
      </c>
      <c r="M77" s="17">
        <f t="shared" si="59"/>
        <v>2293.1868131868132</v>
      </c>
      <c r="N77" s="16">
        <f t="shared" si="47"/>
        <v>163.79905808477238</v>
      </c>
      <c r="O77" s="18">
        <f t="shared" si="48"/>
        <v>0</v>
      </c>
      <c r="P77" s="19">
        <f t="shared" si="49"/>
        <v>-7.629513343799033</v>
      </c>
      <c r="Q77" s="20">
        <f t="shared" si="50"/>
        <v>0.95549450549450565</v>
      </c>
      <c r="R77" s="170"/>
      <c r="S77" s="27">
        <v>0.62430555555555534</v>
      </c>
      <c r="T77" s="27">
        <v>0.68749999999999978</v>
      </c>
      <c r="U77" s="4">
        <f t="shared" si="61"/>
        <v>7.9999999999999716</v>
      </c>
      <c r="V77" s="21">
        <f t="shared" si="60"/>
        <v>91</v>
      </c>
      <c r="W77" s="22"/>
      <c r="X77" s="22"/>
      <c r="Y77" s="25"/>
      <c r="Z77" s="25"/>
      <c r="AA77" s="176"/>
      <c r="AB77" s="177"/>
      <c r="AC77" s="24"/>
      <c r="AD77" s="24"/>
      <c r="AE77" s="18">
        <f t="shared" si="56"/>
        <v>-106.8131868131868</v>
      </c>
      <c r="AF77" s="20">
        <f t="shared" si="52"/>
        <v>0.95549450549450554</v>
      </c>
      <c r="AG77" s="170"/>
    </row>
    <row r="78" spans="1:33" ht="16.5" customHeight="1">
      <c r="A78" s="169" t="s">
        <v>75</v>
      </c>
      <c r="B78" s="35" t="s">
        <v>53</v>
      </c>
      <c r="C78" s="164"/>
      <c r="D78" s="165"/>
      <c r="E78" s="36"/>
      <c r="F78" s="16"/>
      <c r="G78" s="16"/>
      <c r="H78" s="4"/>
      <c r="I78" s="29">
        <v>16</v>
      </c>
      <c r="J78" s="17">
        <v>2400</v>
      </c>
      <c r="K78" s="16">
        <f t="shared" si="46"/>
        <v>150</v>
      </c>
      <c r="L78" s="29">
        <v>16</v>
      </c>
      <c r="M78" s="17">
        <f>AVERAGE(M71:M77)</f>
        <v>2298.4148016815561</v>
      </c>
      <c r="N78" s="16">
        <f t="shared" si="47"/>
        <v>143.65092510509726</v>
      </c>
      <c r="O78" s="18">
        <f t="shared" si="48"/>
        <v>0</v>
      </c>
      <c r="P78" s="19">
        <f t="shared" si="49"/>
        <v>-6.349074894902742</v>
      </c>
      <c r="Q78" s="20">
        <f t="shared" si="50"/>
        <v>0.95767283403398173</v>
      </c>
      <c r="R78" s="170"/>
      <c r="S78" s="27"/>
      <c r="T78" s="27"/>
      <c r="U78" s="16"/>
      <c r="V78" s="21"/>
      <c r="W78" s="16"/>
      <c r="X78" s="16"/>
      <c r="Y78" s="30">
        <f>SUM(Y71:Y77)</f>
        <v>0</v>
      </c>
      <c r="Z78" s="30">
        <f>SUM(Z71:Z77)</f>
        <v>0</v>
      </c>
      <c r="AA78" s="166"/>
      <c r="AB78" s="166"/>
      <c r="AC78" s="30">
        <v>7</v>
      </c>
      <c r="AD78" s="30">
        <f>SUM(AD71:AD77)</f>
        <v>0</v>
      </c>
      <c r="AE78" s="18">
        <f t="shared" si="56"/>
        <v>-101.58519831844387</v>
      </c>
      <c r="AF78" s="20">
        <f t="shared" si="52"/>
        <v>0.95767283403398173</v>
      </c>
      <c r="AG78" s="170"/>
    </row>
    <row r="79" spans="1:33">
      <c r="D79" s="41"/>
      <c r="E79" s="41"/>
    </row>
  </sheetData>
  <mergeCells count="208"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C7:D7"/>
    <mergeCell ref="AA7:AB7"/>
    <mergeCell ref="C8:D8"/>
    <mergeCell ref="AA8:AB8"/>
    <mergeCell ref="C9:D9"/>
    <mergeCell ref="AA9:AB9"/>
    <mergeCell ref="C13:D13"/>
    <mergeCell ref="AA13:AB13"/>
    <mergeCell ref="A5:A10"/>
    <mergeCell ref="C5:D5"/>
    <mergeCell ref="R5:R10"/>
    <mergeCell ref="AA5:AB5"/>
    <mergeCell ref="C6:D6"/>
    <mergeCell ref="AA6:AB6"/>
    <mergeCell ref="A20:A26"/>
    <mergeCell ref="C20:D20"/>
    <mergeCell ref="R20:R26"/>
    <mergeCell ref="AA20:AB20"/>
    <mergeCell ref="AA25:AB25"/>
    <mergeCell ref="AG11:AG13"/>
    <mergeCell ref="C12:D12"/>
    <mergeCell ref="AA12:AB12"/>
    <mergeCell ref="C10:D10"/>
    <mergeCell ref="AA10:AB10"/>
    <mergeCell ref="AG5:AG10"/>
    <mergeCell ref="A14:A19"/>
    <mergeCell ref="C14:D14"/>
    <mergeCell ref="R14:R19"/>
    <mergeCell ref="AA14:AB14"/>
    <mergeCell ref="A11:A13"/>
    <mergeCell ref="C11:D11"/>
    <mergeCell ref="R11:R13"/>
    <mergeCell ref="AA11:AB11"/>
    <mergeCell ref="C19:D19"/>
    <mergeCell ref="AA19:AB19"/>
    <mergeCell ref="AG14:AG19"/>
    <mergeCell ref="C15:D15"/>
    <mergeCell ref="AA15:AB15"/>
    <mergeCell ref="C16:D16"/>
    <mergeCell ref="AA16:AB16"/>
    <mergeCell ref="C17:D17"/>
    <mergeCell ref="AA17:AB17"/>
    <mergeCell ref="C18:D18"/>
    <mergeCell ref="AA18:AB18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G27:AG35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35:D35"/>
    <mergeCell ref="AA35:AB35"/>
    <mergeCell ref="C27:D27"/>
    <mergeCell ref="R27:R35"/>
    <mergeCell ref="AA27:AB27"/>
    <mergeCell ref="AA32:AB32"/>
    <mergeCell ref="C33:D33"/>
    <mergeCell ref="AA33:AB33"/>
    <mergeCell ref="C34:D34"/>
    <mergeCell ref="A36:A44"/>
    <mergeCell ref="C36:D36"/>
    <mergeCell ref="R36:R44"/>
    <mergeCell ref="AA36:AB36"/>
    <mergeCell ref="AA41:AB41"/>
    <mergeCell ref="C42:D42"/>
    <mergeCell ref="AA34:AB34"/>
    <mergeCell ref="AA42:AB42"/>
    <mergeCell ref="C43:D43"/>
    <mergeCell ref="AA43:AB43"/>
    <mergeCell ref="A27:A35"/>
    <mergeCell ref="AA52:AB52"/>
    <mergeCell ref="AG36:AG44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C44:D44"/>
    <mergeCell ref="AA44:AB44"/>
    <mergeCell ref="A53:A62"/>
    <mergeCell ref="C53:D53"/>
    <mergeCell ref="R53:R62"/>
    <mergeCell ref="AA53:AB53"/>
    <mergeCell ref="AA59:AB59"/>
    <mergeCell ref="C60:D60"/>
    <mergeCell ref="AG45:AG52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0:D50"/>
    <mergeCell ref="A45:A52"/>
    <mergeCell ref="C45:D45"/>
    <mergeCell ref="R45:R52"/>
    <mergeCell ref="AA45:AB45"/>
    <mergeCell ref="AA50:AB50"/>
    <mergeCell ref="C51:D51"/>
    <mergeCell ref="AA51:AB51"/>
    <mergeCell ref="C52:D52"/>
    <mergeCell ref="AG63:AG70"/>
    <mergeCell ref="C64:D64"/>
    <mergeCell ref="AA64:AB64"/>
    <mergeCell ref="C65:D65"/>
    <mergeCell ref="AA65:AB65"/>
    <mergeCell ref="C66:D66"/>
    <mergeCell ref="C62:D62"/>
    <mergeCell ref="AA62:AB62"/>
    <mergeCell ref="AA60:AB60"/>
    <mergeCell ref="C61:D61"/>
    <mergeCell ref="AA61:AB61"/>
    <mergeCell ref="AG53:AG62"/>
    <mergeCell ref="C54:D54"/>
    <mergeCell ref="AA54:AB54"/>
    <mergeCell ref="C55:D55"/>
    <mergeCell ref="AA55:AB55"/>
    <mergeCell ref="AA56:AB56"/>
    <mergeCell ref="AA57:AB57"/>
    <mergeCell ref="C58:D58"/>
    <mergeCell ref="AA58:AB58"/>
    <mergeCell ref="C59:D59"/>
    <mergeCell ref="C70:D70"/>
    <mergeCell ref="AA70:AB70"/>
    <mergeCell ref="A71:A78"/>
    <mergeCell ref="C71:D71"/>
    <mergeCell ref="R71:R78"/>
    <mergeCell ref="AA71:AB71"/>
    <mergeCell ref="AA76:AB76"/>
    <mergeCell ref="C77:D77"/>
    <mergeCell ref="AA66:AB66"/>
    <mergeCell ref="C67:D67"/>
    <mergeCell ref="AA67:AB67"/>
    <mergeCell ref="C68:D68"/>
    <mergeCell ref="AA68:AB68"/>
    <mergeCell ref="AA69:AB69"/>
    <mergeCell ref="A63:A70"/>
    <mergeCell ref="C63:D63"/>
    <mergeCell ref="R63:R70"/>
    <mergeCell ref="AA63:AB63"/>
    <mergeCell ref="C78:D78"/>
    <mergeCell ref="AA78:AB78"/>
    <mergeCell ref="AA77:AB77"/>
    <mergeCell ref="AG71:AG78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C76:D76"/>
  </mergeCells>
  <phoneticPr fontId="3" type="noConversion"/>
  <conditionalFormatting sqref="O5:O78">
    <cfRule type="cellIs" dxfId="8" priority="36" operator="greaterThan">
      <formula>0</formula>
    </cfRule>
  </conditionalFormatting>
  <conditionalFormatting sqref="P5:P78">
    <cfRule type="cellIs" dxfId="7" priority="39" operator="lessThan">
      <formula>0</formula>
    </cfRule>
  </conditionalFormatting>
  <conditionalFormatting sqref="Q5:Q78">
    <cfRule type="cellIs" dxfId="6" priority="37" operator="greaterThan">
      <formula>1</formula>
    </cfRule>
    <cfRule type="cellIs" dxfId="5" priority="38" operator="lessThan">
      <formula>0.8</formula>
    </cfRule>
  </conditionalFormatting>
  <conditionalFormatting sqref="R5:R11 AG5:AG11">
    <cfRule type="cellIs" dxfId="4" priority="252" operator="lessThan">
      <formula>0.8</formula>
    </cfRule>
  </conditionalFormatting>
  <conditionalFormatting sqref="AE5:AE78">
    <cfRule type="cellIs" dxfId="3" priority="118" operator="lessThan">
      <formula>0</formula>
    </cfRule>
  </conditionalFormatting>
  <conditionalFormatting sqref="AF5:AF78">
    <cfRule type="cellIs" dxfId="2" priority="117" operator="lessThan">
      <formula>0.8</formula>
    </cfRule>
    <cfRule type="cellIs" dxfId="1" priority="116" operator="greaterThan">
      <formula>1</formula>
    </cfRule>
  </conditionalFormatting>
  <conditionalFormatting sqref="AG14:AG66 R14:R78">
    <cfRule type="cellIs" dxfId="0" priority="40" operator="lessThan">
      <formula>0.8</formula>
    </cfRule>
  </conditionalFormatting>
  <dataValidations disablePrompts="1" count="1">
    <dataValidation type="list" allowBlank="1" showInputMessage="1" showErrorMessage="1" sqref="AB10 AA5:AB9 AB67:AB69 AB12:AB63 AA10:AA69 AA70:AB78" xr:uid="{00000000-0002-0000-3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9BADAF-BFD0-4E39-B169-DD56140BB47C}"/>
</file>

<file path=customXml/itemProps2.xml><?xml version="1.0" encoding="utf-8"?>
<ds:datastoreItem xmlns:ds="http://schemas.openxmlformats.org/officeDocument/2006/customXml" ds:itemID="{D4AB7A04-6BE0-4632-9406-D3CABC13AA7F}"/>
</file>

<file path=customXml/itemProps3.xml><?xml version="1.0" encoding="utf-8"?>
<ds:datastoreItem xmlns:ds="http://schemas.openxmlformats.org/officeDocument/2006/customXml" ds:itemID="{01C1E551-1166-460E-8EF2-E762771B2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0331</vt:lpstr>
      <vt:lpstr>0331 4度C</vt:lpstr>
      <vt:lpstr>0330</vt:lpstr>
      <vt:lpstr>0330 4度C</vt:lpstr>
      <vt:lpstr>0329</vt:lpstr>
      <vt:lpstr>0329 4度C</vt:lpstr>
      <vt:lpstr>0328</vt:lpstr>
      <vt:lpstr>0328 4度C</vt:lpstr>
      <vt:lpstr>0327</vt:lpstr>
      <vt:lpstr>0327 4度C</vt:lpstr>
      <vt:lpstr>0326</vt:lpstr>
      <vt:lpstr>0326 4度C</vt:lpstr>
      <vt:lpstr>0325</vt:lpstr>
      <vt:lpstr>0325 4度C</vt:lpstr>
      <vt:lpstr>0324</vt:lpstr>
      <vt:lpstr>0324 4度C</vt:lpstr>
      <vt:lpstr>0323</vt:lpstr>
      <vt:lpstr>0323 4度C</vt:lpstr>
      <vt:lpstr>0322</vt:lpstr>
      <vt:lpstr>0322 4度C</vt:lpstr>
      <vt:lpstr>0321</vt:lpstr>
      <vt:lpstr>0321 4度C</vt:lpstr>
      <vt:lpstr>0320</vt:lpstr>
      <vt:lpstr>0320 4度C</vt:lpstr>
      <vt:lpstr>0319</vt:lpstr>
      <vt:lpstr>0319 4度C</vt:lpstr>
      <vt:lpstr>0318</vt:lpstr>
      <vt:lpstr>0318 4度C</vt:lpstr>
      <vt:lpstr>0317</vt:lpstr>
      <vt:lpstr>0317 4度C</vt:lpstr>
      <vt:lpstr>0316</vt:lpstr>
      <vt:lpstr>0316 4度C</vt:lpstr>
      <vt:lpstr>0315</vt:lpstr>
      <vt:lpstr>0315 4度C</vt:lpstr>
      <vt:lpstr>0314</vt:lpstr>
      <vt:lpstr>0314 4度C</vt:lpstr>
      <vt:lpstr>0313</vt:lpstr>
      <vt:lpstr>0313 4度C</vt:lpstr>
      <vt:lpstr>0312</vt:lpstr>
      <vt:lpstr>0312 4度C</vt:lpstr>
      <vt:lpstr>0311</vt:lpstr>
      <vt:lpstr>0311 4度C</vt:lpstr>
      <vt:lpstr>0310</vt:lpstr>
      <vt:lpstr>0310 4度C</vt:lpstr>
      <vt:lpstr>0309</vt:lpstr>
      <vt:lpstr>0309 4度C</vt:lpstr>
      <vt:lpstr>0308</vt:lpstr>
      <vt:lpstr>0308 4度C</vt:lpstr>
      <vt:lpstr>0307</vt:lpstr>
      <vt:lpstr>0307 4度C</vt:lpstr>
      <vt:lpstr>0306</vt:lpstr>
      <vt:lpstr>0306 4度C</vt:lpstr>
      <vt:lpstr>0305</vt:lpstr>
      <vt:lpstr>0305 4度C</vt:lpstr>
      <vt:lpstr>0304</vt:lpstr>
      <vt:lpstr>0304 4度C</vt:lpstr>
      <vt:lpstr>0303</vt:lpstr>
      <vt:lpstr>0303 4度C</vt:lpstr>
      <vt:lpstr>0302</vt:lpstr>
      <vt:lpstr>0302 4度C</vt:lpstr>
      <vt:lpstr>0301</vt:lpstr>
      <vt:lpstr>0301 4度C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新豐生管03</dc:creator>
  <cp:lastModifiedBy>食品 屏榮</cp:lastModifiedBy>
  <dcterms:created xsi:type="dcterms:W3CDTF">2026-03-02T01:14:15Z</dcterms:created>
  <dcterms:modified xsi:type="dcterms:W3CDTF">2026-04-07T09:12:54Z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